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pouliot\Downloads\"/>
    </mc:Choice>
  </mc:AlternateContent>
  <bookViews>
    <workbookView xWindow="0" yWindow="0" windowWidth="28740" windowHeight="12240" activeTab="4"/>
  </bookViews>
  <sheets>
    <sheet name="Summary" sheetId="1" r:id="rId1"/>
    <sheet name="PCR" sheetId="2" r:id="rId2"/>
    <sheet name="Tax impact same home price" sheetId="3" r:id="rId3"/>
    <sheet name="Summary BCASBO" sheetId="4" r:id="rId4"/>
    <sheet name="Tax Impact BCASBO" sheetId="5" r:id="rId5"/>
  </sheets>
  <externalReferences>
    <externalReference r:id="rId6"/>
    <externalReference r:id="rId7"/>
  </externalReferences>
  <definedNames>
    <definedName name="adm_sal_pct_inc">[1]Inputs!$B$11</definedName>
    <definedName name="Aide_sal_pct_inc">[1]Inputs!$B$14</definedName>
    <definedName name="budget_yr">[1]Inputs!$B$5</definedName>
    <definedName name="current_yr">[1]Inputs!$B$6</definedName>
    <definedName name="cust_sal_pct_inc">[1]Inputs!$B$13</definedName>
    <definedName name="grant_pct">[1]Inputs!$B$17</definedName>
    <definedName name="Health_pct" localSheetId="3">'Summary BCASBO'!$B$6</definedName>
    <definedName name="Health_pct">Summary!$B$5</definedName>
    <definedName name="homeprice1">[1]Inputs!$B$30</definedName>
    <definedName name="homeprice2">[1]Inputs!$B$31</definedName>
    <definedName name="homeprice3">[1]Inputs!$B$32</definedName>
    <definedName name="homeprice4">[1]Inputs!$B$33</definedName>
    <definedName name="homeprice5">[1]Inputs!$B$34</definedName>
    <definedName name="homepriceA" localSheetId="4">'Tax Impact BCASBO'!$C$49</definedName>
    <definedName name="homepriceA" localSheetId="2">'Tax impact same home price'!$C$49</definedName>
    <definedName name="homepriceA">'[2]OLD_DATA_impact diff home price'!$C$49</definedName>
    <definedName name="homepriceB" localSheetId="4">'Tax Impact BCASBO'!$C$50</definedName>
    <definedName name="homepriceB" localSheetId="2">'Tax impact same home price'!$C$50</definedName>
    <definedName name="homepriceB">'[2]OLD_DATA_impact diff home price'!$C$50</definedName>
    <definedName name="homepriceC" localSheetId="4">'Tax Impact BCASBO'!$C$51</definedName>
    <definedName name="homepriceC" localSheetId="2">'Tax impact same home price'!$C$51</definedName>
    <definedName name="homepriceC">'[2]OLD_DATA_impact diff home price'!$C$51</definedName>
    <definedName name="homepriceD" localSheetId="4">'Tax Impact BCASBO'!$C$52</definedName>
    <definedName name="homepriceD" localSheetId="2">'Tax impact same home price'!$C$52</definedName>
    <definedName name="homepriceD">'[2]OLD_DATA_impact diff home price'!$C$52</definedName>
    <definedName name="homerpiceC" localSheetId="4">'Tax Impact BCASBO'!$C$51</definedName>
    <definedName name="homerpiceC" localSheetId="2">'Tax impact same home price'!$C$51</definedName>
    <definedName name="ins_pct">[1]Inputs!$B$20</definedName>
    <definedName name="NESBIG_pct" localSheetId="3">'Summary BCASBO'!$B$8</definedName>
    <definedName name="NESBIG_pct">Summary!$B$7</definedName>
    <definedName name="OOD_tuition_pct">'Summary BCASBO'!$B$4</definedName>
    <definedName name="_xlnm.Print_Area" localSheetId="4">'Tax Impact BCASBO'!$A$1:$F$38</definedName>
    <definedName name="_xlnm.Print_Area" localSheetId="2">'Tax impact same home price'!$A$1:$R$38</definedName>
    <definedName name="_xlnm.Print_Titles" localSheetId="4">'Tax Impact BCASBO'!$A:$B,'Tax Impact BCASBO'!$2:$3</definedName>
    <definedName name="_xlnm.Print_Titles" localSheetId="2">'Tax impact same home price'!$A:$B,'Tax impact same home price'!$2:$3</definedName>
    <definedName name="prior_yr">[1]Inputs!$B$7</definedName>
    <definedName name="Salary_pct" localSheetId="3">'Summary BCASBO'!$B$2</definedName>
    <definedName name="Salary_pct">Summary!$B$2</definedName>
    <definedName name="sec_sal_pct_inc">[1]Inputs!$B$12</definedName>
    <definedName name="TaxLevy_pct" localSheetId="3">'Summary BCASBO'!$B$3</definedName>
    <definedName name="TaxLevy_pct">Summary!$B$3</definedName>
    <definedName name="taxrate" localSheetId="4">'Tax Impact BCASBO'!$C$46</definedName>
    <definedName name="taxrate" localSheetId="2">'Tax impact same home price'!$C$46</definedName>
    <definedName name="tch_sal_pct_inc">[1]Inputs!$B$10</definedName>
    <definedName name="Transp_pct" localSheetId="3">'Summary BCASBO'!$B$5</definedName>
    <definedName name="Transp_pct">Summary!$B$4</definedName>
    <definedName name="Util_pct" localSheetId="3">'Summary BCASBO'!$B$7</definedName>
    <definedName name="Util_pct" localSheetId="4">[1]Inputs!$B$22</definedName>
    <definedName name="Util_pct" localSheetId="2">[1]Inputs!$B$22</definedName>
    <definedName name="Util_pct">Summary!$B$6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5" l="1"/>
  <c r="D17" i="4"/>
  <c r="D16" i="4"/>
  <c r="D15" i="4"/>
  <c r="D14" i="4"/>
  <c r="D13" i="4"/>
  <c r="F6" i="4"/>
  <c r="F4" i="4"/>
  <c r="E4" i="4"/>
  <c r="F3" i="4"/>
  <c r="F2" i="4"/>
  <c r="B33" i="4"/>
  <c r="C33" i="4"/>
  <c r="C31" i="4"/>
  <c r="D26" i="4"/>
  <c r="F29" i="5" l="1"/>
  <c r="D18" i="5"/>
  <c r="E15" i="5"/>
  <c r="D30" i="1"/>
  <c r="E30" i="1" s="1"/>
  <c r="C30" i="1"/>
  <c r="B30" i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C23" i="1"/>
  <c r="B23" i="1" s="1"/>
  <c r="E49" i="5"/>
  <c r="C46" i="5"/>
  <c r="N35" i="5"/>
  <c r="O33" i="5" s="1"/>
  <c r="D32" i="5"/>
  <c r="D31" i="5"/>
  <c r="C31" i="5"/>
  <c r="C37" i="5" s="1"/>
  <c r="F30" i="5"/>
  <c r="E30" i="5"/>
  <c r="A24" i="5"/>
  <c r="A25" i="5" s="1"/>
  <c r="A26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B22" i="5"/>
  <c r="C20" i="5"/>
  <c r="C32" i="5" s="1"/>
  <c r="C19" i="5"/>
  <c r="C23" i="5" s="1"/>
  <c r="F15" i="5"/>
  <c r="E14" i="5"/>
  <c r="F13" i="5"/>
  <c r="E13" i="5"/>
  <c r="A10" i="5"/>
  <c r="A11" i="5" s="1"/>
  <c r="A12" i="5" s="1"/>
  <c r="A13" i="5" s="1"/>
  <c r="A14" i="5" s="1"/>
  <c r="A15" i="5" s="1"/>
  <c r="A18" i="5" s="1"/>
  <c r="A19" i="5" s="1"/>
  <c r="A20" i="5" s="1"/>
  <c r="B8" i="5"/>
  <c r="D6" i="5"/>
  <c r="A5" i="5"/>
  <c r="A6" i="5" s="1"/>
  <c r="D30" i="4"/>
  <c r="D29" i="4"/>
  <c r="E29" i="4" s="1"/>
  <c r="F29" i="4" s="1"/>
  <c r="D28" i="4"/>
  <c r="E28" i="4" s="1"/>
  <c r="F28" i="4" s="1"/>
  <c r="D27" i="4"/>
  <c r="E27" i="4" s="1"/>
  <c r="F27" i="4" s="1"/>
  <c r="E26" i="4"/>
  <c r="F26" i="4" s="1"/>
  <c r="D25" i="4"/>
  <c r="E25" i="4" s="1"/>
  <c r="F25" i="4" s="1"/>
  <c r="C24" i="4"/>
  <c r="B24" i="4" s="1"/>
  <c r="C18" i="4"/>
  <c r="B18" i="4"/>
  <c r="E17" i="4"/>
  <c r="F17" i="4" s="1"/>
  <c r="E16" i="4"/>
  <c r="F16" i="4" s="1"/>
  <c r="E15" i="4"/>
  <c r="F15" i="4" s="1"/>
  <c r="E14" i="4"/>
  <c r="F14" i="4" s="1"/>
  <c r="E13" i="4"/>
  <c r="F13" i="4" s="1"/>
  <c r="D12" i="4"/>
  <c r="L14" i="3"/>
  <c r="D14" i="3"/>
  <c r="F14" i="3" s="1"/>
  <c r="P18" i="3"/>
  <c r="E49" i="3"/>
  <c r="C46" i="3"/>
  <c r="R38" i="3"/>
  <c r="Q38" i="3"/>
  <c r="K38" i="3"/>
  <c r="R37" i="3"/>
  <c r="Q37" i="3"/>
  <c r="K37" i="3"/>
  <c r="G37" i="3"/>
  <c r="R36" i="3"/>
  <c r="Q36" i="3"/>
  <c r="K36" i="3"/>
  <c r="Z35" i="3"/>
  <c r="AA33" i="3" s="1"/>
  <c r="R35" i="3"/>
  <c r="Q35" i="3"/>
  <c r="K35" i="3"/>
  <c r="H35" i="3"/>
  <c r="G35" i="3"/>
  <c r="R34" i="3"/>
  <c r="Q34" i="3"/>
  <c r="D34" i="3"/>
  <c r="K33" i="3"/>
  <c r="L32" i="3"/>
  <c r="H32" i="3"/>
  <c r="G32" i="3"/>
  <c r="G34" i="3" s="1"/>
  <c r="D32" i="3"/>
  <c r="O31" i="3"/>
  <c r="L31" i="3"/>
  <c r="L37" i="3" s="1"/>
  <c r="K31" i="3"/>
  <c r="H31" i="3"/>
  <c r="H38" i="3" s="1"/>
  <c r="G31" i="3"/>
  <c r="G33" i="3" s="1"/>
  <c r="D31" i="3"/>
  <c r="C31" i="3"/>
  <c r="C38" i="3" s="1"/>
  <c r="P30" i="3"/>
  <c r="R30" i="3" s="1"/>
  <c r="O30" i="3"/>
  <c r="N30" i="3"/>
  <c r="M30" i="3"/>
  <c r="J30" i="3"/>
  <c r="I30" i="3"/>
  <c r="F30" i="3"/>
  <c r="E30" i="3"/>
  <c r="R29" i="3"/>
  <c r="Q29" i="3"/>
  <c r="L29" i="3"/>
  <c r="K29" i="3"/>
  <c r="H29" i="3"/>
  <c r="J29" i="3" s="1"/>
  <c r="G29" i="3"/>
  <c r="D29" i="3"/>
  <c r="E29" i="3" s="1"/>
  <c r="C29" i="3"/>
  <c r="G27" i="3"/>
  <c r="A24" i="3"/>
  <c r="A25" i="3" s="1"/>
  <c r="A26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G22" i="3"/>
  <c r="B22" i="3"/>
  <c r="K20" i="3"/>
  <c r="N20" i="3" s="1"/>
  <c r="J20" i="3"/>
  <c r="I20" i="3"/>
  <c r="G20" i="3"/>
  <c r="C20" i="3"/>
  <c r="F20" i="3" s="1"/>
  <c r="O19" i="3"/>
  <c r="G19" i="3"/>
  <c r="K18" i="3"/>
  <c r="G18" i="3"/>
  <c r="C18" i="3"/>
  <c r="N15" i="3"/>
  <c r="J15" i="3"/>
  <c r="F15" i="3"/>
  <c r="N14" i="3"/>
  <c r="M14" i="3"/>
  <c r="H14" i="3"/>
  <c r="I14" i="3" s="1"/>
  <c r="G14" i="3"/>
  <c r="O14" i="3" s="1"/>
  <c r="P13" i="3"/>
  <c r="P15" i="3" s="1"/>
  <c r="O13" i="3"/>
  <c r="O15" i="3" s="1"/>
  <c r="N13" i="3"/>
  <c r="M13" i="3"/>
  <c r="J13" i="3"/>
  <c r="I13" i="3"/>
  <c r="F13" i="3"/>
  <c r="E13" i="3"/>
  <c r="A12" i="3"/>
  <c r="A13" i="3" s="1"/>
  <c r="A14" i="3" s="1"/>
  <c r="A15" i="3" s="1"/>
  <c r="A18" i="3" s="1"/>
  <c r="A19" i="3" s="1"/>
  <c r="A20" i="3" s="1"/>
  <c r="A11" i="3"/>
  <c r="A10" i="3"/>
  <c r="B8" i="3"/>
  <c r="L6" i="3"/>
  <c r="N6" i="3" s="1"/>
  <c r="K6" i="3"/>
  <c r="O6" i="3" s="1"/>
  <c r="J6" i="3"/>
  <c r="H6" i="3"/>
  <c r="I6" i="3" s="1"/>
  <c r="G6" i="3"/>
  <c r="D6" i="3"/>
  <c r="C6" i="3"/>
  <c r="A6" i="3"/>
  <c r="A5" i="3"/>
  <c r="G4" i="3"/>
  <c r="G5" i="3" s="1"/>
  <c r="P3" i="3"/>
  <c r="O3" i="3"/>
  <c r="L3" i="3"/>
  <c r="K3" i="3"/>
  <c r="H3" i="3"/>
  <c r="G3" i="3"/>
  <c r="C36" i="5" l="1"/>
  <c r="D19" i="5"/>
  <c r="C34" i="5"/>
  <c r="C33" i="5"/>
  <c r="C38" i="5"/>
  <c r="C4" i="5"/>
  <c r="C5" i="5" s="1"/>
  <c r="F20" i="5"/>
  <c r="E29" i="5"/>
  <c r="E20" i="5"/>
  <c r="D23" i="1"/>
  <c r="E23" i="1" s="1"/>
  <c r="F18" i="5"/>
  <c r="E18" i="5"/>
  <c r="E4" i="5" s="1"/>
  <c r="D35" i="5"/>
  <c r="D33" i="5"/>
  <c r="D36" i="5"/>
  <c r="F31" i="5"/>
  <c r="D34" i="5"/>
  <c r="D38" i="5"/>
  <c r="D37" i="5"/>
  <c r="E31" i="5"/>
  <c r="F32" i="5"/>
  <c r="E32" i="5"/>
  <c r="J35" i="3"/>
  <c r="C22" i="5"/>
  <c r="C25" i="5"/>
  <c r="C21" i="5"/>
  <c r="F14" i="5"/>
  <c r="C24" i="5"/>
  <c r="C6" i="5"/>
  <c r="C26" i="5"/>
  <c r="C35" i="5"/>
  <c r="D18" i="4"/>
  <c r="D24" i="4"/>
  <c r="E24" i="4" s="1"/>
  <c r="F24" i="4" s="1"/>
  <c r="B31" i="4"/>
  <c r="E12" i="4"/>
  <c r="F12" i="4" s="1"/>
  <c r="L33" i="3"/>
  <c r="L38" i="3"/>
  <c r="M38" i="3" s="1"/>
  <c r="L36" i="3"/>
  <c r="N31" i="3"/>
  <c r="M31" i="3"/>
  <c r="L34" i="3"/>
  <c r="E14" i="3"/>
  <c r="I35" i="3"/>
  <c r="H37" i="3"/>
  <c r="P31" i="3"/>
  <c r="Q31" i="3" s="1"/>
  <c r="I29" i="3"/>
  <c r="O20" i="3"/>
  <c r="O32" i="3"/>
  <c r="O33" i="3" s="1"/>
  <c r="G12" i="3"/>
  <c r="G11" i="3"/>
  <c r="G8" i="3"/>
  <c r="G9" i="3"/>
  <c r="G10" i="3"/>
  <c r="G7" i="3"/>
  <c r="N29" i="3"/>
  <c r="M29" i="3"/>
  <c r="J14" i="3"/>
  <c r="E15" i="3" s="1"/>
  <c r="P14" i="3"/>
  <c r="Q14" i="3" s="1"/>
  <c r="R14" i="3" s="1"/>
  <c r="C19" i="3"/>
  <c r="C22" i="3" s="1"/>
  <c r="O22" i="3" s="1"/>
  <c r="C4" i="3"/>
  <c r="H18" i="3"/>
  <c r="R18" i="3"/>
  <c r="Q18" i="3"/>
  <c r="C37" i="3"/>
  <c r="C35" i="3"/>
  <c r="C33" i="3"/>
  <c r="D35" i="3"/>
  <c r="D36" i="3"/>
  <c r="D33" i="3"/>
  <c r="D37" i="3"/>
  <c r="D38" i="3"/>
  <c r="G24" i="3"/>
  <c r="G25" i="3"/>
  <c r="G21" i="3"/>
  <c r="E31" i="3"/>
  <c r="M6" i="3"/>
  <c r="F31" i="3"/>
  <c r="M20" i="3"/>
  <c r="G23" i="3"/>
  <c r="P19" i="3"/>
  <c r="G26" i="3"/>
  <c r="H34" i="3"/>
  <c r="J32" i="3"/>
  <c r="M33" i="3"/>
  <c r="N33" i="3"/>
  <c r="C36" i="3"/>
  <c r="I37" i="3"/>
  <c r="J37" i="3"/>
  <c r="K4" i="3"/>
  <c r="K5" i="3" s="1"/>
  <c r="K19" i="3"/>
  <c r="L18" i="3"/>
  <c r="I32" i="3"/>
  <c r="D18" i="3"/>
  <c r="K22" i="3"/>
  <c r="K32" i="3"/>
  <c r="K34" i="3" s="1"/>
  <c r="P6" i="3"/>
  <c r="F6" i="3"/>
  <c r="M37" i="3"/>
  <c r="N37" i="3"/>
  <c r="H33" i="3"/>
  <c r="I31" i="3"/>
  <c r="L35" i="3"/>
  <c r="Q30" i="3"/>
  <c r="J31" i="3"/>
  <c r="C32" i="3"/>
  <c r="G36" i="3"/>
  <c r="G38" i="3"/>
  <c r="J38" i="3" s="1"/>
  <c r="Q13" i="3"/>
  <c r="R13" i="3" s="1"/>
  <c r="E20" i="3"/>
  <c r="H36" i="3"/>
  <c r="D31" i="4" l="1"/>
  <c r="D4" i="5"/>
  <c r="F35" i="5"/>
  <c r="E35" i="5"/>
  <c r="E37" i="5"/>
  <c r="F37" i="5"/>
  <c r="F6" i="5"/>
  <c r="C12" i="5"/>
  <c r="C9" i="5"/>
  <c r="C11" i="5"/>
  <c r="C8" i="5"/>
  <c r="C10" i="5"/>
  <c r="C7" i="5"/>
  <c r="F34" i="5"/>
  <c r="E34" i="5"/>
  <c r="F4" i="5"/>
  <c r="D5" i="5"/>
  <c r="F33" i="5"/>
  <c r="E33" i="5"/>
  <c r="E38" i="5"/>
  <c r="F38" i="5"/>
  <c r="N38" i="3"/>
  <c r="D26" i="5"/>
  <c r="F19" i="5"/>
  <c r="D23" i="5"/>
  <c r="D21" i="5"/>
  <c r="E19" i="5"/>
  <c r="D24" i="5"/>
  <c r="D25" i="5"/>
  <c r="D22" i="5"/>
  <c r="E36" i="5"/>
  <c r="F36" i="5"/>
  <c r="I38" i="3"/>
  <c r="E18" i="4"/>
  <c r="F18" i="4" s="1"/>
  <c r="D33" i="4"/>
  <c r="R31" i="3"/>
  <c r="N34" i="3"/>
  <c r="N36" i="3"/>
  <c r="M36" i="3"/>
  <c r="I34" i="3"/>
  <c r="J34" i="3"/>
  <c r="N35" i="3"/>
  <c r="M35" i="3"/>
  <c r="I36" i="3"/>
  <c r="J36" i="3"/>
  <c r="R19" i="3"/>
  <c r="Q19" i="3"/>
  <c r="I18" i="3"/>
  <c r="I4" i="3" s="1"/>
  <c r="J18" i="3"/>
  <c r="H19" i="3"/>
  <c r="H4" i="3"/>
  <c r="C5" i="3"/>
  <c r="O4" i="3"/>
  <c r="O5" i="3" s="1"/>
  <c r="O7" i="3" s="1"/>
  <c r="L4" i="3"/>
  <c r="L19" i="3"/>
  <c r="M16" i="3"/>
  <c r="M18" i="3"/>
  <c r="M4" i="3" s="1"/>
  <c r="N18" i="3"/>
  <c r="E35" i="3"/>
  <c r="F35" i="3"/>
  <c r="R6" i="3"/>
  <c r="P20" i="3"/>
  <c r="Q6" i="3"/>
  <c r="P32" i="3"/>
  <c r="F37" i="3"/>
  <c r="E37" i="3"/>
  <c r="I33" i="3"/>
  <c r="J33" i="3"/>
  <c r="F33" i="3"/>
  <c r="E33" i="3"/>
  <c r="E36" i="3"/>
  <c r="F36" i="3"/>
  <c r="M32" i="3"/>
  <c r="K25" i="3"/>
  <c r="K26" i="3"/>
  <c r="K23" i="3"/>
  <c r="K21" i="3"/>
  <c r="K24" i="3"/>
  <c r="M34" i="3"/>
  <c r="E38" i="3"/>
  <c r="F38" i="3"/>
  <c r="F18" i="3"/>
  <c r="D19" i="3"/>
  <c r="D4" i="3"/>
  <c r="E18" i="3"/>
  <c r="E4" i="3" s="1"/>
  <c r="C26" i="3"/>
  <c r="O26" i="3" s="1"/>
  <c r="C23" i="3"/>
  <c r="O23" i="3" s="1"/>
  <c r="C24" i="3"/>
  <c r="O24" i="3" s="1"/>
  <c r="C25" i="3"/>
  <c r="O25" i="3" s="1"/>
  <c r="C21" i="3"/>
  <c r="N32" i="3"/>
  <c r="E32" i="3"/>
  <c r="F32" i="3"/>
  <c r="C34" i="3"/>
  <c r="K7" i="3"/>
  <c r="K10" i="3"/>
  <c r="K9" i="3"/>
  <c r="K12" i="3"/>
  <c r="K11" i="3"/>
  <c r="K8" i="3"/>
  <c r="F26" i="5" l="1"/>
  <c r="E26" i="5"/>
  <c r="F24" i="5"/>
  <c r="E24" i="5"/>
  <c r="F25" i="5"/>
  <c r="E25" i="5"/>
  <c r="E21" i="5"/>
  <c r="F21" i="5"/>
  <c r="D12" i="5"/>
  <c r="D9" i="5"/>
  <c r="D10" i="5"/>
  <c r="D7" i="5"/>
  <c r="D11" i="5"/>
  <c r="D8" i="5"/>
  <c r="E5" i="5"/>
  <c r="F5" i="5" s="1"/>
  <c r="E23" i="5"/>
  <c r="F23" i="5"/>
  <c r="F22" i="5"/>
  <c r="E22" i="5"/>
  <c r="E31" i="4"/>
  <c r="F31" i="4" s="1"/>
  <c r="R20" i="3"/>
  <c r="Q20" i="3"/>
  <c r="C10" i="3"/>
  <c r="O10" i="3" s="1"/>
  <c r="C7" i="3"/>
  <c r="C11" i="3"/>
  <c r="O11" i="3" s="1"/>
  <c r="C8" i="3"/>
  <c r="O8" i="3" s="1"/>
  <c r="C9" i="3"/>
  <c r="O9" i="3" s="1"/>
  <c r="C12" i="3"/>
  <c r="O12" i="3" s="1"/>
  <c r="L22" i="3"/>
  <c r="M19" i="3"/>
  <c r="L23" i="3"/>
  <c r="L26" i="3"/>
  <c r="L25" i="3"/>
  <c r="N19" i="3"/>
  <c r="L24" i="3"/>
  <c r="L21" i="3"/>
  <c r="D5" i="3"/>
  <c r="P4" i="3"/>
  <c r="F4" i="3"/>
  <c r="P33" i="3"/>
  <c r="R32" i="3"/>
  <c r="Q32" i="3"/>
  <c r="J4" i="3"/>
  <c r="H5" i="3"/>
  <c r="F34" i="3"/>
  <c r="E34" i="3"/>
  <c r="L5" i="3"/>
  <c r="N4" i="3"/>
  <c r="D26" i="3"/>
  <c r="D23" i="3"/>
  <c r="D24" i="3"/>
  <c r="D25" i="3"/>
  <c r="D22" i="3"/>
  <c r="F19" i="3"/>
  <c r="D21" i="3"/>
  <c r="E19" i="3"/>
  <c r="O21" i="3"/>
  <c r="H24" i="3"/>
  <c r="H25" i="3"/>
  <c r="H22" i="3"/>
  <c r="H21" i="3"/>
  <c r="J19" i="3"/>
  <c r="I19" i="3"/>
  <c r="H26" i="3"/>
  <c r="H23" i="3"/>
  <c r="F10" i="5" l="1"/>
  <c r="E10" i="5"/>
  <c r="F9" i="5"/>
  <c r="E9" i="5"/>
  <c r="F8" i="5"/>
  <c r="E8" i="5"/>
  <c r="E11" i="5"/>
  <c r="F11" i="5"/>
  <c r="F7" i="5"/>
  <c r="E7" i="5"/>
  <c r="E12" i="5"/>
  <c r="F12" i="5"/>
  <c r="E30" i="4"/>
  <c r="F30" i="4" s="1"/>
  <c r="E23" i="3"/>
  <c r="P23" i="3"/>
  <c r="F23" i="3"/>
  <c r="E26" i="3"/>
  <c r="F26" i="3"/>
  <c r="P26" i="3"/>
  <c r="I24" i="3"/>
  <c r="J24" i="3"/>
  <c r="P5" i="3"/>
  <c r="Q4" i="3"/>
  <c r="R4" i="3"/>
  <c r="E5" i="3"/>
  <c r="F5" i="3" s="1"/>
  <c r="D8" i="3"/>
  <c r="D11" i="3"/>
  <c r="D10" i="3"/>
  <c r="D7" i="3"/>
  <c r="D9" i="3"/>
  <c r="D12" i="3"/>
  <c r="M21" i="3"/>
  <c r="N21" i="3"/>
  <c r="F21" i="3"/>
  <c r="P21" i="3"/>
  <c r="E21" i="3"/>
  <c r="E22" i="3"/>
  <c r="P22" i="3"/>
  <c r="F22" i="3"/>
  <c r="M25" i="3"/>
  <c r="N25" i="3"/>
  <c r="Q33" i="3"/>
  <c r="R33" i="3"/>
  <c r="M22" i="3"/>
  <c r="N22" i="3"/>
  <c r="J23" i="3"/>
  <c r="I23" i="3"/>
  <c r="N24" i="3"/>
  <c r="M24" i="3"/>
  <c r="H12" i="3"/>
  <c r="H9" i="3"/>
  <c r="H10" i="3"/>
  <c r="I5" i="3"/>
  <c r="J5" i="3" s="1"/>
  <c r="H7" i="3"/>
  <c r="H8" i="3"/>
  <c r="H11" i="3"/>
  <c r="P25" i="3"/>
  <c r="F25" i="3"/>
  <c r="E25" i="3"/>
  <c r="N26" i="3"/>
  <c r="M26" i="3"/>
  <c r="J22" i="3"/>
  <c r="I22" i="3"/>
  <c r="J25" i="3"/>
  <c r="I25" i="3"/>
  <c r="L10" i="3"/>
  <c r="L7" i="3"/>
  <c r="M5" i="3"/>
  <c r="N5" i="3" s="1"/>
  <c r="L11" i="3"/>
  <c r="L9" i="3"/>
  <c r="L12" i="3"/>
  <c r="L8" i="3"/>
  <c r="J26" i="3"/>
  <c r="I26" i="3"/>
  <c r="J21" i="3"/>
  <c r="I21" i="3"/>
  <c r="E24" i="3"/>
  <c r="P24" i="3"/>
  <c r="F24" i="3"/>
  <c r="M23" i="3"/>
  <c r="N23" i="3"/>
  <c r="N12" i="3" l="1"/>
  <c r="M12" i="3"/>
  <c r="I12" i="3"/>
  <c r="J12" i="3"/>
  <c r="M11" i="3"/>
  <c r="N11" i="3"/>
  <c r="F7" i="3"/>
  <c r="E7" i="3"/>
  <c r="R22" i="3"/>
  <c r="Q22" i="3"/>
  <c r="M10" i="3"/>
  <c r="N10" i="3"/>
  <c r="J11" i="3"/>
  <c r="I11" i="3"/>
  <c r="P8" i="3"/>
  <c r="F8" i="3"/>
  <c r="E8" i="3"/>
  <c r="J10" i="3"/>
  <c r="I10" i="3"/>
  <c r="J9" i="3"/>
  <c r="I9" i="3"/>
  <c r="E9" i="3"/>
  <c r="P9" i="3"/>
  <c r="F9" i="3"/>
  <c r="F10" i="3"/>
  <c r="E10" i="3"/>
  <c r="P10" i="3"/>
  <c r="M7" i="3"/>
  <c r="N7" i="3"/>
  <c r="P11" i="3"/>
  <c r="F11" i="3"/>
  <c r="E11" i="3"/>
  <c r="I8" i="3"/>
  <c r="J8" i="3"/>
  <c r="Q21" i="3"/>
  <c r="R21" i="3"/>
  <c r="R23" i="3"/>
  <c r="Q23" i="3"/>
  <c r="M8" i="3"/>
  <c r="N8" i="3"/>
  <c r="Q5" i="3"/>
  <c r="R5" i="3" s="1"/>
  <c r="P7" i="3"/>
  <c r="P12" i="3"/>
  <c r="F12" i="3"/>
  <c r="E12" i="3"/>
  <c r="M9" i="3"/>
  <c r="N9" i="3"/>
  <c r="Q26" i="3"/>
  <c r="R26" i="3"/>
  <c r="R24" i="3"/>
  <c r="Q24" i="3"/>
  <c r="R25" i="3"/>
  <c r="Q25" i="3"/>
  <c r="J7" i="3"/>
  <c r="I7" i="3"/>
  <c r="Q10" i="3" l="1"/>
  <c r="R10" i="3"/>
  <c r="R9" i="3"/>
  <c r="Q9" i="3"/>
  <c r="Q11" i="3"/>
  <c r="R11" i="3"/>
  <c r="Q8" i="3"/>
  <c r="R8" i="3"/>
  <c r="Q7" i="3"/>
  <c r="R7" i="3"/>
  <c r="R12" i="3"/>
  <c r="Q12" i="3"/>
  <c r="F27" i="1" l="1"/>
  <c r="F28" i="1"/>
  <c r="D15" i="1"/>
  <c r="F24" i="1"/>
  <c r="F25" i="1"/>
  <c r="C16" i="1"/>
  <c r="D16" i="1" s="1"/>
  <c r="B17" i="1"/>
  <c r="C17" i="1"/>
  <c r="E15" i="1"/>
  <c r="F15" i="1" s="1"/>
  <c r="D14" i="1"/>
  <c r="E14" i="1" s="1"/>
  <c r="F14" i="1" s="1"/>
  <c r="D12" i="1"/>
  <c r="E12" i="1" s="1"/>
  <c r="F12" i="1" s="1"/>
  <c r="D13" i="1"/>
  <c r="E13" i="1" s="1"/>
  <c r="F13" i="1" s="1"/>
  <c r="D11" i="1"/>
  <c r="F26" i="1"/>
  <c r="F23" i="1"/>
  <c r="C734" i="2"/>
  <c r="G732" i="2"/>
  <c r="G700" i="2"/>
  <c r="G695" i="2"/>
  <c r="G689" i="2"/>
  <c r="G685" i="2"/>
  <c r="G714" i="2" s="1"/>
  <c r="G663" i="2"/>
  <c r="G681" i="2" s="1"/>
  <c r="G658" i="2"/>
  <c r="G653" i="2"/>
  <c r="G644" i="2"/>
  <c r="G638" i="2"/>
  <c r="G612" i="2"/>
  <c r="G606" i="2"/>
  <c r="G594" i="2"/>
  <c r="G598" i="2" s="1"/>
  <c r="G588" i="2"/>
  <c r="G383" i="2"/>
  <c r="G377" i="2"/>
  <c r="G367" i="2"/>
  <c r="G369" i="2" s="1"/>
  <c r="G329" i="2"/>
  <c r="G343" i="2" s="1"/>
  <c r="G324" i="2"/>
  <c r="G311" i="2"/>
  <c r="G319" i="2" s="1"/>
  <c r="G287" i="2"/>
  <c r="G275" i="2"/>
  <c r="G267" i="2"/>
  <c r="G258" i="2"/>
  <c r="G252" i="2"/>
  <c r="G254" i="2" s="1"/>
  <c r="G243" i="2"/>
  <c r="G241" i="2"/>
  <c r="G236" i="2"/>
  <c r="G231" i="2"/>
  <c r="G229" i="2"/>
  <c r="G221" i="2"/>
  <c r="G215" i="2"/>
  <c r="G200" i="2"/>
  <c r="G189" i="2"/>
  <c r="G202" i="2" s="1"/>
  <c r="G173" i="2"/>
  <c r="G156" i="2"/>
  <c r="G161" i="2" s="1"/>
  <c r="G151" i="2"/>
  <c r="G145" i="2"/>
  <c r="G128" i="2"/>
  <c r="G121" i="2"/>
  <c r="G123" i="2" s="1"/>
  <c r="G114" i="2"/>
  <c r="G105" i="2"/>
  <c r="G100" i="2"/>
  <c r="G95" i="2"/>
  <c r="G86" i="2"/>
  <c r="G89" i="2" s="1"/>
  <c r="G83" i="2"/>
  <c r="G74" i="2"/>
  <c r="G65" i="2"/>
  <c r="G43" i="2"/>
  <c r="G45" i="2" s="1"/>
  <c r="G22" i="2"/>
  <c r="G14" i="2"/>
  <c r="C32" i="1" l="1"/>
  <c r="B16" i="1"/>
  <c r="D17" i="1"/>
  <c r="E11" i="1"/>
  <c r="F11" i="1" s="1"/>
  <c r="G734" i="2"/>
  <c r="F740" i="2" s="1"/>
  <c r="F741" i="2" s="1"/>
  <c r="E16" i="1"/>
  <c r="F16" i="1" s="1"/>
  <c r="F29" i="1" l="1"/>
  <c r="D32" i="1"/>
  <c r="E17" i="1"/>
  <c r="F17" i="1" s="1"/>
  <c r="F30" i="1"/>
</calcChain>
</file>

<file path=xl/sharedStrings.xml><?xml version="1.0" encoding="utf-8"?>
<sst xmlns="http://schemas.openxmlformats.org/spreadsheetml/2006/main" count="1926" uniqueCount="702">
  <si>
    <t>REVENUES</t>
  </si>
  <si>
    <t>Local Taxy Levy</t>
  </si>
  <si>
    <t>Local Sources</t>
  </si>
  <si>
    <t>State Sources</t>
  </si>
  <si>
    <t>2022-23</t>
  </si>
  <si>
    <t>2023-24</t>
  </si>
  <si>
    <t>2021-22</t>
  </si>
  <si>
    <t>$ Change</t>
  </si>
  <si>
    <t>% Change</t>
  </si>
  <si>
    <t>Total</t>
  </si>
  <si>
    <t>EXPENDITURES</t>
  </si>
  <si>
    <t>Salaries</t>
  </si>
  <si>
    <t>Transportation</t>
  </si>
  <si>
    <t>Utilities</t>
  </si>
  <si>
    <t>Health</t>
  </si>
  <si>
    <t>NESBIG Insurance</t>
  </si>
  <si>
    <t>NESBIG</t>
  </si>
  <si>
    <t>RAMAPO INDIAN HILLS REGIONAL HIGH SCHOOL DISTRICT</t>
  </si>
  <si>
    <t>POSITION CONTROL ROSTER</t>
  </si>
  <si>
    <t>BUDGET YEAR 2022-2023</t>
  </si>
  <si>
    <t xml:space="preserve"> </t>
  </si>
  <si>
    <t>Account Number</t>
  </si>
  <si>
    <t>Acct Desc</t>
  </si>
  <si>
    <t>FTE</t>
  </si>
  <si>
    <t>Employee #</t>
  </si>
  <si>
    <t xml:space="preserve">Name </t>
  </si>
  <si>
    <t>UPC CODE</t>
  </si>
  <si>
    <t>Amount</t>
  </si>
  <si>
    <t>11-000-211-110-118-00-10-00-</t>
  </si>
  <si>
    <t>SALARIES-ATTENDANCE</t>
  </si>
  <si>
    <t>ADA-IH-ATND-01</t>
  </si>
  <si>
    <t>ADA-RAM-ATND-02</t>
  </si>
  <si>
    <t>ADA-IH-PRIN-04</t>
  </si>
  <si>
    <t>ADA-RAM-PRIN-02</t>
  </si>
  <si>
    <t>ADA-RAM-PRIN-01</t>
  </si>
  <si>
    <t>-</t>
  </si>
  <si>
    <t>ADA-IH-PRIN-01</t>
  </si>
  <si>
    <t>Equals DOE Line 29500</t>
  </si>
  <si>
    <t>11-000-213-104-119-00-10-00-</t>
  </si>
  <si>
    <t>SALARIES  NURSE</t>
  </si>
  <si>
    <t>SPT-RAM-NURS-02</t>
  </si>
  <si>
    <t>SPT-IH-NURS-02</t>
  </si>
  <si>
    <t>SPT-IH-NURS-01</t>
  </si>
  <si>
    <t>SPT-RAM-NURS-01</t>
  </si>
  <si>
    <t>Equals DOE Line 30500</t>
  </si>
  <si>
    <t>11-000-217-101-000-00-10-00-</t>
  </si>
  <si>
    <t>SAL BEDSIDE INSTR</t>
  </si>
  <si>
    <t>11-000-217-106-000-00-10-00-</t>
  </si>
  <si>
    <t>SAL TEACHER'S AIDE</t>
  </si>
  <si>
    <t>AIDE-IH-SPEC-14</t>
  </si>
  <si>
    <t>AIDE-IH-SPEC-09</t>
  </si>
  <si>
    <t>AIDE-RAM-SPEC-02</t>
  </si>
  <si>
    <t>AIDE-RAM-SPEC-07</t>
  </si>
  <si>
    <t>AIDE-RAM-SPEC-05</t>
  </si>
  <si>
    <t>AIDE-RAM-SPEC-09</t>
  </si>
  <si>
    <t>AIDE-IH-SPEC-02</t>
  </si>
  <si>
    <t>AIDE-RAM-SPEC-08</t>
  </si>
  <si>
    <t>AIDE-IH-SPEC-03</t>
  </si>
  <si>
    <t>AIDE-RAM-SPEC-06</t>
  </si>
  <si>
    <t>AIDE-OD-SPEC-01</t>
  </si>
  <si>
    <t>AIDE-RAM-SPEC-03</t>
  </si>
  <si>
    <t>AIDE-IH-SPEC-11</t>
  </si>
  <si>
    <t>AIDE-IH-SPEC-01</t>
  </si>
  <si>
    <t>AIDE-IH-SPEC-10</t>
  </si>
  <si>
    <t>AIDE-IH-SPEC-12</t>
  </si>
  <si>
    <t>EQUALS DOE LINE 41000</t>
  </si>
  <si>
    <t>11-000-218-104-000-00-10-00-</t>
  </si>
  <si>
    <t>SALARIES GUIDANCE</t>
  </si>
  <si>
    <t>SPC-RAM-SOCW-01</t>
  </si>
  <si>
    <t>COUN-RAM-GUID-02</t>
  </si>
  <si>
    <t>COUN-IH-GUID-06</t>
  </si>
  <si>
    <t>COUN-RAM-GUID-01</t>
  </si>
  <si>
    <t>COUN-IH-GUID-01</t>
  </si>
  <si>
    <t>COUN-RAM-GUID-03</t>
  </si>
  <si>
    <t>SUPV-RAM-GUID-01</t>
  </si>
  <si>
    <t>COUN-RAM-GUID-06</t>
  </si>
  <si>
    <t>SUPV-IH-GUID-01</t>
  </si>
  <si>
    <t>COUN-IH-GUID-02</t>
  </si>
  <si>
    <t>COUN-IH-GUID-03</t>
  </si>
  <si>
    <t>COUN-RAM-GUID-04</t>
  </si>
  <si>
    <t>COUN-RAM-GUID-05</t>
  </si>
  <si>
    <t>COUN-IH-GUID-04</t>
  </si>
  <si>
    <t>COUN-IH-GUID-05</t>
  </si>
  <si>
    <t>Equals DOE Line 41500</t>
  </si>
  <si>
    <t>11-000-218-105-000-00-10-00-</t>
  </si>
  <si>
    <t>SAL-ADMIN ASST-GUID</t>
  </si>
  <si>
    <t>ADA-RAM-GUID-02</t>
  </si>
  <si>
    <t>ADA-IH-GUID-02</t>
  </si>
  <si>
    <t>ADA-RAM-GUID-01</t>
  </si>
  <si>
    <t>ADA-IH-GUID-01</t>
  </si>
  <si>
    <t>Equals DOE Line 41520</t>
  </si>
  <si>
    <t>11-000-219-104-000-00-10-00-</t>
  </si>
  <si>
    <t>SALARIES - CST</t>
  </si>
  <si>
    <t>SUPV-IH-SPEC-01</t>
  </si>
  <si>
    <t>SPC-RAM-PSYC-01</t>
  </si>
  <si>
    <t>SPC-RAM-LDTC-01</t>
  </si>
  <si>
    <t>SPC-IH-PSYC-01</t>
  </si>
  <si>
    <t>SPC-IH-LDTC-01</t>
  </si>
  <si>
    <t>ADM-DIS-GUID-01</t>
  </si>
  <si>
    <t>SUPV-RAM-SPEC-01</t>
  </si>
  <si>
    <t>SPC-RAM-PSYC-02</t>
  </si>
  <si>
    <t>ADM-DIS-CST-01</t>
  </si>
  <si>
    <t>SPC-IH-PSYC-02</t>
  </si>
  <si>
    <t>Equals DOE Line 42000</t>
  </si>
  <si>
    <t>11-000-219-105-000-00-10-00-</t>
  </si>
  <si>
    <t>SAL-CST ADMIN ASSTS</t>
  </si>
  <si>
    <t>ADA-DIS-SPEC-01</t>
  </si>
  <si>
    <t>ADA-IH-SPEC-01</t>
  </si>
  <si>
    <t>ADA-RAM-SPEC-01</t>
  </si>
  <si>
    <t>Equals DOE Line 42020</t>
  </si>
  <si>
    <t>11-000-221-102-000-00-10-00-</t>
  </si>
  <si>
    <t>SAL-CURRICULUM DIR</t>
  </si>
  <si>
    <t>ADM-DIS-CURR-01</t>
  </si>
  <si>
    <t>Equals DOE Line 43000</t>
  </si>
  <si>
    <t>11-000-221-105-000-00-10-00-</t>
  </si>
  <si>
    <t>SAL-ADMIN ASST-CURR</t>
  </si>
  <si>
    <t>ADA-DIS-CURR-01</t>
  </si>
  <si>
    <t>Equals DOE Line 43040</t>
  </si>
  <si>
    <t>11-000-221-110-009-00-10-12-</t>
  </si>
  <si>
    <t>SAL-CURR WORK</t>
  </si>
  <si>
    <t>Equals DOE Line 43060</t>
  </si>
  <si>
    <t>11-000-222-100-000-00-10-00-</t>
  </si>
  <si>
    <t>SAL-PERSONAL SVCS</t>
  </si>
  <si>
    <t>SPT-RAM-LIBR-01</t>
  </si>
  <si>
    <t>SPT-IH-LIBR-01</t>
  </si>
  <si>
    <t>11-000-222-105-000-00-10-00-</t>
  </si>
  <si>
    <t>SAL-ADMIN AST-LIB &amp; ITC</t>
  </si>
  <si>
    <t>ADA-RAM-LIBR-01</t>
  </si>
  <si>
    <t>ADA-IH-TECH-01</t>
  </si>
  <si>
    <t>ADA-IH-LIBR-01</t>
  </si>
  <si>
    <t>EQUALS DOE LINE 43500</t>
  </si>
  <si>
    <t>11-000-222-177-000-00-10-00-</t>
  </si>
  <si>
    <t>SAL OF TECH COORD</t>
  </si>
  <si>
    <t>IND-DIS-TECH-02</t>
  </si>
  <si>
    <t>IND-DIS-TECH-04</t>
  </si>
  <si>
    <t>Equals DOE Line 43520</t>
  </si>
  <si>
    <t>11-000-223-102-000-00-10-00-</t>
  </si>
  <si>
    <t>SAL - SUPERVISORS</t>
  </si>
  <si>
    <t>SUPV-RAM-ENG-01</t>
  </si>
  <si>
    <t>SUPV-DIST-PHYS-01</t>
  </si>
  <si>
    <t>SUPV-IH-ENG-01</t>
  </si>
  <si>
    <t>SUPV-RAM-HIST-01</t>
  </si>
  <si>
    <t>SUPV-RAM-MATH-01</t>
  </si>
  <si>
    <t>SUPV-IH-SOC-01</t>
  </si>
  <si>
    <t>SUPV-IH-SCI-01</t>
  </si>
  <si>
    <t>SUPV-RAM-SCI-01</t>
  </si>
  <si>
    <t>SUPV-IH-WRLD-01</t>
  </si>
  <si>
    <t>SUPV-RAM-WRLD-01</t>
  </si>
  <si>
    <t>SUPV-IH-MATH-01</t>
  </si>
  <si>
    <t>Equals DOE Line 44000</t>
  </si>
  <si>
    <t>11-000-223-105-000-00-10-00-</t>
  </si>
  <si>
    <t>SAL-ADM ASST/ST TRAIN</t>
  </si>
  <si>
    <t>SECY-DIS-CONF-03</t>
  </si>
  <si>
    <t>Equals DOE Line 44040</t>
  </si>
  <si>
    <t>11-000-223-110-000-30-10-00-</t>
  </si>
  <si>
    <t>SAL STAFF DEVELOPER</t>
  </si>
  <si>
    <t>IND-DIS-CURR-01</t>
  </si>
  <si>
    <t>11-000-223-110-349-00-10-12-</t>
  </si>
  <si>
    <t>PROF DEV COMM</t>
  </si>
  <si>
    <t>11-000-223-110    SUBTOTAL</t>
  </si>
  <si>
    <t>EQUALS DOE LINE 44060</t>
  </si>
  <si>
    <t>\</t>
  </si>
  <si>
    <t>11-000-230-104-110-00-10-00-</t>
  </si>
  <si>
    <t>SAL-SUPERINTENDENT</t>
  </si>
  <si>
    <t>ADM-DIS-SUPT-01</t>
  </si>
  <si>
    <t>11-000-230-104-111-00-10-00-</t>
  </si>
  <si>
    <t>SAL-TREASURER</t>
  </si>
  <si>
    <t>SPT-DIS-TREAS-01</t>
  </si>
  <si>
    <t>11-000-230-105-000-00-10-00-</t>
  </si>
  <si>
    <t>SAL-SUPT ADMIN ASST</t>
  </si>
  <si>
    <t>IND-DIS-CONF-01</t>
  </si>
  <si>
    <t>11-000-230-1XX    SUBTOTAL</t>
  </si>
  <si>
    <t>EQUALS DOE LINE 45000</t>
  </si>
  <si>
    <t>11-000-240-103-000-00-10-00-</t>
  </si>
  <si>
    <t>SAL-PRIN &amp; ASST PRINC</t>
  </si>
  <si>
    <t>ADM-RAM-ATHL-01</t>
  </si>
  <si>
    <t>ADM-IH-ATHL-01</t>
  </si>
  <si>
    <t>ADM-IH-VP-01</t>
  </si>
  <si>
    <t>ADM-RAM-VP-02</t>
  </si>
  <si>
    <t>ADM-IH-VP-02</t>
  </si>
  <si>
    <t>ADM-RAM-VP-01</t>
  </si>
  <si>
    <t>ADM-RAM-PRIN-01</t>
  </si>
  <si>
    <t>ADM-IH-PRIN-01</t>
  </si>
  <si>
    <t>Equals DOE Line 46000</t>
  </si>
  <si>
    <t>11-000-240-105-000-00-10-00-</t>
  </si>
  <si>
    <t>SAL-ADMIN ASST-SCHOOL</t>
  </si>
  <si>
    <t>ADA-IH-PRIN-03</t>
  </si>
  <si>
    <t>ADA-RAM-PRIN-04</t>
  </si>
  <si>
    <t>ADA-IH-PRIN-02</t>
  </si>
  <si>
    <t>ADA-RAM-PRIN-03</t>
  </si>
  <si>
    <t>Equals DOE Line 46040</t>
  </si>
  <si>
    <t>11-000-251-104-110-00-10-00-</t>
  </si>
  <si>
    <t>SAL-ADMIN/PROF STAFF</t>
  </si>
  <si>
    <t>ADM-DIS-BA-01</t>
  </si>
  <si>
    <t>ADM-DIS-ABA-01</t>
  </si>
  <si>
    <t>11-000-251-105-000-00-10-00-</t>
  </si>
  <si>
    <t>SAL-ADMIN ASSTS/BD OFF</t>
  </si>
  <si>
    <t>ADA-DIS-BUSI-01</t>
  </si>
  <si>
    <t>SECY-DIS-CONF-01</t>
  </si>
  <si>
    <t>SECY-DIS-CONF-02</t>
  </si>
  <si>
    <t>IND-DIS-CONF-02</t>
  </si>
  <si>
    <t>11-000-251-1XX    SUBTOTAL</t>
  </si>
  <si>
    <t>EQUALS DOE LINE 47000</t>
  </si>
  <si>
    <t>11-000-252-105-129-00-10-00-</t>
  </si>
  <si>
    <t>SAL-NETWORK ADMIN</t>
  </si>
  <si>
    <t>IND-DIS-TECH-03</t>
  </si>
  <si>
    <t>11-000-252-110-361-00-10-00-</t>
  </si>
  <si>
    <t>SAL-COMPUTER SVCS</t>
  </si>
  <si>
    <t>IND-DIS-TECH-01</t>
  </si>
  <si>
    <t>11-000-252-1XX    SUBTOTAL</t>
  </si>
  <si>
    <t>EQUALS DOE LINE 47500</t>
  </si>
  <si>
    <t>11-000-261-110-109-70-10-00-</t>
  </si>
  <si>
    <t>SAL-MAINTENANCE O/T</t>
  </si>
  <si>
    <t>11-000-261-110-638-70-10-00-</t>
  </si>
  <si>
    <t>SAL - MAINTENANCE DIST</t>
  </si>
  <si>
    <t>CUST-DIS-MTCE-01</t>
  </si>
  <si>
    <t>CUST-DIS-MTCE-02</t>
  </si>
  <si>
    <t>CUST-RAM-MTCE-01</t>
  </si>
  <si>
    <t>CUST-DIST-MTCE-03</t>
  </si>
  <si>
    <t>11-000-261-1XX    SUBTOTAL</t>
  </si>
  <si>
    <t>EQUALS DOE LINE 48500</t>
  </si>
  <si>
    <t>11-000-262-105-000-00-10-00-</t>
  </si>
  <si>
    <t>SAL-B&amp;G /ADMIN ASSTS</t>
  </si>
  <si>
    <t>ADA-DIS-FAC-01</t>
  </si>
  <si>
    <t>11-000-262-110-000-00-01-00-</t>
  </si>
  <si>
    <t>SAL-CUSTODIAL-RAM</t>
  </si>
  <si>
    <t>CUST-RAM-CUST-01</t>
  </si>
  <si>
    <t>CUST-RAM-CUST-02</t>
  </si>
  <si>
    <t>CUST-RAM-CUST-03</t>
  </si>
  <si>
    <t>CUST-RAM-CUST-04</t>
  </si>
  <si>
    <t>11-000-262-110-000-00-02-00-</t>
  </si>
  <si>
    <t>SAL-CUSTODIAL-IH</t>
  </si>
  <si>
    <t>CUST-IH-CUST-02</t>
  </si>
  <si>
    <t>CUST-IH-CUST-03</t>
  </si>
  <si>
    <t>CUST-IH-CUST-01</t>
  </si>
  <si>
    <t>CUST-IH-CUST-04</t>
  </si>
  <si>
    <t>11-000-262-110-008-00-10-01-</t>
  </si>
  <si>
    <t>HOURLY CUST SUBS RAM</t>
  </si>
  <si>
    <t>11-000-262-110-008-00-10-02-</t>
  </si>
  <si>
    <t>HOURLY CUST SUBS IH</t>
  </si>
  <si>
    <t>11-000-262-110-009-00-10-00-</t>
  </si>
  <si>
    <t>SAL- CUST SUMMER</t>
  </si>
  <si>
    <t>11-000-262-110-107-00-10-00-</t>
  </si>
  <si>
    <t>SAL - B&amp;G/PROF STAFF</t>
  </si>
  <si>
    <t>IND-DIS-FAC-01</t>
  </si>
  <si>
    <t>11-000-262-110-109-00-01-00-</t>
  </si>
  <si>
    <t>SAL - CUST O/T RAMAPO</t>
  </si>
  <si>
    <t>11-000-262-110-109-00-02-00-</t>
  </si>
  <si>
    <t>SAL - CUST O/T IHHS</t>
  </si>
  <si>
    <t>11-000-262-110-109-31-01-00-</t>
  </si>
  <si>
    <t>SAL  CUST BLDG RENTAL</t>
  </si>
  <si>
    <t>11-000-262-110-109-31-02-00-</t>
  </si>
  <si>
    <t>SAL CUST BLDG RENTAL</t>
  </si>
  <si>
    <t>11-000-262-110-116-00-10-00-</t>
  </si>
  <si>
    <t>SAL-SAT. DETENTION</t>
  </si>
  <si>
    <t>11-000-262-110-120-00-01-00-</t>
  </si>
  <si>
    <t>SAL-CUST ATHLETICS</t>
  </si>
  <si>
    <t>11-000-262-110-120-00-02-00-</t>
  </si>
  <si>
    <t>11-000-262-110-997-00-10-00-</t>
  </si>
  <si>
    <t>SALARIES-TECH</t>
  </si>
  <si>
    <t>SPT-IH-TECH-01</t>
  </si>
  <si>
    <t>SPT-RAM-TECH-01</t>
  </si>
  <si>
    <t>SPT-IH-TECH-02</t>
  </si>
  <si>
    <t>SPT-RAM-TECH-02</t>
  </si>
  <si>
    <t>11-000-262-110-997-30-10-00-</t>
  </si>
  <si>
    <t>SALARIES TECH SUMMER</t>
  </si>
  <si>
    <t>11-000-262-110-997-31-10-00-</t>
  </si>
  <si>
    <t>SAL- TECH BLDG RENTAL</t>
  </si>
  <si>
    <t>11-000-262-110-997-34-10-00-</t>
  </si>
  <si>
    <t>SALARIES TECH O/T</t>
  </si>
  <si>
    <t>11-000-262-1XX SUBTOTAL</t>
  </si>
  <si>
    <t>EQUALS DOE LINE 49000</t>
  </si>
  <si>
    <t>11-000-263-110-000-00-01-00-</t>
  </si>
  <si>
    <t>SAL-GRNDSKEEPER</t>
  </si>
  <si>
    <t>CUST-RAM-GRND-02</t>
  </si>
  <si>
    <t>CUST-RAM-GRND-01</t>
  </si>
  <si>
    <t>11-000-263-110-000-00-02-00-</t>
  </si>
  <si>
    <t>CUST-IH-GRND-01</t>
  </si>
  <si>
    <t>CUST-IH-GRND-02</t>
  </si>
  <si>
    <t>11-000-263-110-109-00-01-00-</t>
  </si>
  <si>
    <t>SAL - GRNDS - O/T RAM</t>
  </si>
  <si>
    <t>11-000-263-110-109-00-02-00-</t>
  </si>
  <si>
    <t>SAL - GRNDS - O/T IHHS</t>
  </si>
  <si>
    <t>11-000-263-110-109-31-01-00-</t>
  </si>
  <si>
    <t>SAL GRNDS BLDG RNTAL</t>
  </si>
  <si>
    <t>11-000-263-110-109-31-02-00-</t>
  </si>
  <si>
    <t>11-000-263-110-120-00-01-00-</t>
  </si>
  <si>
    <t>SAL GROUNDS ATHL RAM</t>
  </si>
  <si>
    <t>11-000-263-110-120-00-02-00-</t>
  </si>
  <si>
    <t>SAL GROUNDS  ATHL IH</t>
  </si>
  <si>
    <t>11-000-263-1XX SUBTOTAL</t>
  </si>
  <si>
    <t>EQUALS DOE LINE 50000</t>
  </si>
  <si>
    <t>11-000-266-110-109-00-10-00-</t>
  </si>
  <si>
    <t>SAL SECURITY O/T</t>
  </si>
  <si>
    <t>11-000-266-110-634-00-10-00-</t>
  </si>
  <si>
    <t>SAL- SECURITY AIDE</t>
  </si>
  <si>
    <t>AIDE-IH-SEC-05</t>
  </si>
  <si>
    <t>AIDE-IH-SEC-01</t>
  </si>
  <si>
    <t>AIDE-RAM-SEC-03</t>
  </si>
  <si>
    <t>AIDE-IH-SEC-09</t>
  </si>
  <si>
    <t>AIDE-RAM-SEC-02</t>
  </si>
  <si>
    <t>AIDE-RAM-SEC-07</t>
  </si>
  <si>
    <t>AIDE-RAM-SEC-09</t>
  </si>
  <si>
    <t>AIDE-IH-SEC-07</t>
  </si>
  <si>
    <t>AIDE-RAM-SEC-06</t>
  </si>
  <si>
    <t>AIDE-IH-SEC-06</t>
  </si>
  <si>
    <t>AIDE-RAM-SEC-04</t>
  </si>
  <si>
    <t>AIDE-IH-SEC-02</t>
  </si>
  <si>
    <t>AIDE-RAM-SEC-08</t>
  </si>
  <si>
    <t>AIDE-IH-SEC-04</t>
  </si>
  <si>
    <t>AIDE-IH-SEC-03</t>
  </si>
  <si>
    <t>AIDE-RAM-SEC-05</t>
  </si>
  <si>
    <t>ADM-DIS-SEC-01</t>
  </si>
  <si>
    <t>AIDE-IH-SEC-08</t>
  </si>
  <si>
    <t>11-000-266-1XX SUBTOTAL</t>
  </si>
  <si>
    <t>EQUALS DOE LINE 51000</t>
  </si>
  <si>
    <t>11-000-270-160-000-00-10-00-</t>
  </si>
  <si>
    <t>SAL REG ED TRANSP</t>
  </si>
  <si>
    <t>DRVR-DIS-TRANS-02</t>
  </si>
  <si>
    <t>DRVR-DIS-TRANS-01</t>
  </si>
  <si>
    <t>SUPV-DIS-TRANS-01</t>
  </si>
  <si>
    <t>Equals DOE Line 52020</t>
  </si>
  <si>
    <t>11-000-270-162-000-00-10-00-</t>
  </si>
  <si>
    <t>SAL TRANSP TRIPS&amp;ATH</t>
  </si>
  <si>
    <t>ADA-DIS-BUSI-02</t>
  </si>
  <si>
    <t>Equals DOE Line 52060</t>
  </si>
  <si>
    <t>11-140-100-101-000-00-10-00-</t>
  </si>
  <si>
    <t>SALARIES/TEACHERS</t>
  </si>
  <si>
    <t>TCH-IH-SCI-02</t>
  </si>
  <si>
    <t>TCH-RAM-SCI-02</t>
  </si>
  <si>
    <t>TCH-RAM-SOC-01</t>
  </si>
  <si>
    <t>TCH-RAM-PEH-04</t>
  </si>
  <si>
    <t>TCH-IH-PEH-01</t>
  </si>
  <si>
    <t>TCH-RAM-WRLD-07</t>
  </si>
  <si>
    <t>TCH-RAM-MATH-01</t>
  </si>
  <si>
    <t>TCH-RAM-SCI-03</t>
  </si>
  <si>
    <t>TCH-DIS-WRLD-01</t>
  </si>
  <si>
    <t>TCH-RAM-ENG-01</t>
  </si>
  <si>
    <t>TCH-DIS-PEH-01</t>
  </si>
  <si>
    <t>TCH-IH-ART-04</t>
  </si>
  <si>
    <t>TCH-IH-MATH-03</t>
  </si>
  <si>
    <t>TCH-RAM-WRLD-10</t>
  </si>
  <si>
    <t>TCH-IH-SCI-11</t>
  </si>
  <si>
    <t>TCH-RAM-MATH-12</t>
  </si>
  <si>
    <t>TCH-IH-SCI-01</t>
  </si>
  <si>
    <t>TCH-RAM-MTH-12</t>
  </si>
  <si>
    <t>TCH-IH-WRLD-01</t>
  </si>
  <si>
    <t>TCH-IH-SCI-13</t>
  </si>
  <si>
    <t>TCH-IH-ENG-04</t>
  </si>
  <si>
    <t>TCH-IH-PEH-08</t>
  </si>
  <si>
    <t>TCH-IH-MATH-06</t>
  </si>
  <si>
    <t>TCH-RAM-SCI-01</t>
  </si>
  <si>
    <t>TCH-RAM-ENG-16</t>
  </si>
  <si>
    <t>TCH-DIS-WRLD-02</t>
  </si>
  <si>
    <t>TCH-IH-MATH-09</t>
  </si>
  <si>
    <t>TCH-IH-BUSI-02</t>
  </si>
  <si>
    <t>TCH-IH-MATH-08</t>
  </si>
  <si>
    <t>TCH-RAM-WRLD-11</t>
  </si>
  <si>
    <t>TCH-RAM-WRLD-02</t>
  </si>
  <si>
    <t>TCH-RAM-SUPP-03</t>
  </si>
  <si>
    <t>to Resource Room for Fleming</t>
  </si>
  <si>
    <t>TCH-IH-SCI-04</t>
  </si>
  <si>
    <t>TCH-RAM-SOC-02</t>
  </si>
  <si>
    <t>TCH-RAM-FCS-01</t>
  </si>
  <si>
    <t>TCH-RAM-SCI-14</t>
  </si>
  <si>
    <t>TCH-IH-MATH-11</t>
  </si>
  <si>
    <t>TCH-RAM-ENG-14</t>
  </si>
  <si>
    <t>TCH-IH-WRLD-06</t>
  </si>
  <si>
    <t>TCH-RAM-MATH-03</t>
  </si>
  <si>
    <t>TCH-RAM-BUSI-01</t>
  </si>
  <si>
    <t>TCH-RAM-WRLD-08</t>
  </si>
  <si>
    <t>TCH-IH-SOC-04</t>
  </si>
  <si>
    <t>TCH-IH-MATH-01</t>
  </si>
  <si>
    <t>TCH-IH-SOC-13</t>
  </si>
  <si>
    <t>TCH-RAM-ENG-02</t>
  </si>
  <si>
    <t>TCH-RAM-PEH-03</t>
  </si>
  <si>
    <t>TCH-RAM-SCI-16</t>
  </si>
  <si>
    <t>TCH-IH-BUSI-03</t>
  </si>
  <si>
    <t>TCH-IH-APT-01</t>
  </si>
  <si>
    <t>TCH-IH-ENG-06</t>
  </si>
  <si>
    <t>TCH-RAM-WRLD-03</t>
  </si>
  <si>
    <t>TCH-IH-SUPP-02</t>
  </si>
  <si>
    <t>TCH-RAM-FCS-03</t>
  </si>
  <si>
    <t>TCH-DIS-MUS-02</t>
  </si>
  <si>
    <t>TCH-IH-ENG-03</t>
  </si>
  <si>
    <t>TCH-RAM-MATH-04</t>
  </si>
  <si>
    <t>TCH-RAM-SCI-18</t>
  </si>
  <si>
    <t>TCH-RAM-FCS-02</t>
  </si>
  <si>
    <t>TCH-IH-SCI-03</t>
  </si>
  <si>
    <t>TCH-RAM-PEH-01</t>
  </si>
  <si>
    <t>TCH-RAM-ART-03</t>
  </si>
  <si>
    <t>TCH-RAM-SUPP-02</t>
  </si>
  <si>
    <t>TCH-DIS-PEH-02</t>
  </si>
  <si>
    <t>TCH-RAM-SCI-12</t>
  </si>
  <si>
    <t>TCH-IH-BUSI-04</t>
  </si>
  <si>
    <t>TCH-DIST-SOC-01</t>
  </si>
  <si>
    <t>TCH-IH-ENG-05</t>
  </si>
  <si>
    <t>TCH-RAM-SCI-11</t>
  </si>
  <si>
    <t>GUIDE MOVEMENT</t>
  </si>
  <si>
    <t>TCH-RAM-PEH-09</t>
  </si>
  <si>
    <t>TCH-RAM-PEH-02</t>
  </si>
  <si>
    <t>TCH-RAM-BUSI-02</t>
  </si>
  <si>
    <t>TCH-IH-MATH-04</t>
  </si>
  <si>
    <t>TCH-DIS-MUS-03</t>
  </si>
  <si>
    <t>TCH-IH-SOC-05</t>
  </si>
  <si>
    <t>TCH-DIST-ART-01</t>
  </si>
  <si>
    <t>TCH-IH-PEH-03</t>
  </si>
  <si>
    <t>TCH-RAM-SCI-07</t>
  </si>
  <si>
    <t>TCH-IH-SOC-08</t>
  </si>
  <si>
    <t>TCH-RAM-SOC-05</t>
  </si>
  <si>
    <t>TCH-RAM-SCI-08</t>
  </si>
  <si>
    <t>TCH-IH-SOC-06</t>
  </si>
  <si>
    <t>TCH-DIS-SCI-02</t>
  </si>
  <si>
    <t>TCH-RAM-MATH-10</t>
  </si>
  <si>
    <t>TCH-IH-SOC-07</t>
  </si>
  <si>
    <t>TCH-RAM-SCI-09</t>
  </si>
  <si>
    <t>TCH-IH-ENG-08</t>
  </si>
  <si>
    <t>TCH-IH-PEH-04</t>
  </si>
  <si>
    <t>TCH-IH-ENG-02</t>
  </si>
  <si>
    <t>TCH-IH-FCS-03</t>
  </si>
  <si>
    <t>TCH-IH-MATH-10</t>
  </si>
  <si>
    <t>TCH-RAM-SOC-07</t>
  </si>
  <si>
    <t>TCH-DIS-WRLD-05</t>
  </si>
  <si>
    <t>TCH-IH-ENG-07</t>
  </si>
  <si>
    <t>TCH-DIS-WRLD-04</t>
  </si>
  <si>
    <t>TCH-RAM-SOC-06</t>
  </si>
  <si>
    <t>TCH-RAM-ENG-08</t>
  </si>
  <si>
    <t>LONGEVITY</t>
  </si>
  <si>
    <t>TCH-IH-SOC-03</t>
  </si>
  <si>
    <t>SAC-RAM-GUID-01</t>
  </si>
  <si>
    <t>TCH-RAM-ENG-09</t>
  </si>
  <si>
    <t>TCH-RAM-ENG-06</t>
  </si>
  <si>
    <t>TCH-RAM-ENG-10</t>
  </si>
  <si>
    <t>TCH-IH-SCI-06</t>
  </si>
  <si>
    <t>TCH-IH-ENG-15</t>
  </si>
  <si>
    <t>TCH-IH-ART-03</t>
  </si>
  <si>
    <t>TCH-RAM-SOC-03</t>
  </si>
  <si>
    <t>TCH-IH-SCI-05</t>
  </si>
  <si>
    <t>TCH-IH-MATH-12</t>
  </si>
  <si>
    <t>TCH-IH-WRLD-05</t>
  </si>
  <si>
    <t>TCH-IH-SCI-10</t>
  </si>
  <si>
    <t>TCH-RAM-BUSI-03</t>
  </si>
  <si>
    <t>TCH-IH-SCI-09</t>
  </si>
  <si>
    <t>TCH-IH-PEH-02</t>
  </si>
  <si>
    <t>TCH-IH-ART-01</t>
  </si>
  <si>
    <t>TCH-IH-SCI-15</t>
  </si>
  <si>
    <t>TCH-IH-SOC-11</t>
  </si>
  <si>
    <t>TCH-RAM-ENG-04</t>
  </si>
  <si>
    <t>TCH-RAM-SOC-08</t>
  </si>
  <si>
    <t>TCH-RAM-SOC-09</t>
  </si>
  <si>
    <t>TCH-RAM-MATH-05</t>
  </si>
  <si>
    <t>TCH-IH-PEH-05</t>
  </si>
  <si>
    <t>TCH-RAM-WRLD-05</t>
  </si>
  <si>
    <t>TCH-RAM-MATH-07</t>
  </si>
  <si>
    <t>TCH-RAM-MATH-08</t>
  </si>
  <si>
    <t>TCH-IH-SOC-02</t>
  </si>
  <si>
    <t>TCH-IH-ENG-11</t>
  </si>
  <si>
    <t>TCH-IH-ENG-10</t>
  </si>
  <si>
    <t>TCH-DIS-SCI-04</t>
  </si>
  <si>
    <t>TCH-IH-SCI-12</t>
  </si>
  <si>
    <t>TCH-RAM-ART-01</t>
  </si>
  <si>
    <t>TCH-RAM-SCI-10</t>
  </si>
  <si>
    <t>TCH-DIS-MUS-01</t>
  </si>
  <si>
    <t>TCH-RAM-MATH-11</t>
  </si>
  <si>
    <t>TCH-RAM-WRLD-06</t>
  </si>
  <si>
    <t>TCH-IH-MATH-13</t>
  </si>
  <si>
    <t>TCH-RAM-SCI-13</t>
  </si>
  <si>
    <t>TCH-DIS-APT-01</t>
  </si>
  <si>
    <t>TCH-IH-PEH-07</t>
  </si>
  <si>
    <t>SAC-IH-GUID-01</t>
  </si>
  <si>
    <t>SIXTH PERIOD COVERAGE</t>
  </si>
  <si>
    <t>TCH-RAM-ENG-11</t>
  </si>
  <si>
    <t>TCH-RAM-MUS-01</t>
  </si>
  <si>
    <t>TCH-RAM-APT-02</t>
  </si>
  <si>
    <t>TCH-RAM-ENG-12</t>
  </si>
  <si>
    <t>TCH-DIS-PEH-03</t>
  </si>
  <si>
    <t>TCH-RAM-SOC-11</t>
  </si>
  <si>
    <t>TCH-RAM-MATH-02</t>
  </si>
  <si>
    <t>TCH-IH-SOC-09</t>
  </si>
  <si>
    <t>TCH-RAM-ENG-13</t>
  </si>
  <si>
    <t>TCH-IH-ENG-13</t>
  </si>
  <si>
    <t>TCH-IH-ENG-09</t>
  </si>
  <si>
    <t>TCH-RAM-ENG-03</t>
  </si>
  <si>
    <t>TCH-RAM-PEH-05</t>
  </si>
  <si>
    <t>TCH-RAM-PEH-06</t>
  </si>
  <si>
    <t>TCH-RAM-MATH-06</t>
  </si>
  <si>
    <t>TCH-RAM-WRLD-09</t>
  </si>
  <si>
    <t>TCH-RAM-SCI-15</t>
  </si>
  <si>
    <t>TCH-RAM-WRLD-04</t>
  </si>
  <si>
    <t>TCH-DIS-SCI-05</t>
  </si>
  <si>
    <t>TCH-RAM-PEH-07</t>
  </si>
  <si>
    <t>TCH-DIST-ART-02</t>
  </si>
  <si>
    <t>TCH-RAM-SOC-13</t>
  </si>
  <si>
    <t>TCH-RAM-SOC-12</t>
  </si>
  <si>
    <t>TCH-IH-ENG-14</t>
  </si>
  <si>
    <t>TCH-RAM-SOC-04</t>
  </si>
  <si>
    <t>TCH-DIS-WRLD-03</t>
  </si>
  <si>
    <t>TCH-RAM-BUSI-04</t>
  </si>
  <si>
    <t>TCH-RAM-MATH-09</t>
  </si>
  <si>
    <t>TCH-RAM-SCI-06</t>
  </si>
  <si>
    <t>TCH-RAM-SCI-17</t>
  </si>
  <si>
    <t>TCH-IH-SCI-16</t>
  </si>
  <si>
    <t>TCH-IH-WRLD-08</t>
  </si>
  <si>
    <t>TCH-IH-SCI-07</t>
  </si>
  <si>
    <t>TCH-IH-PEH-06</t>
  </si>
  <si>
    <t>TCH-RAM-SCI-05</t>
  </si>
  <si>
    <t>TCH-RAM-ENG-15</t>
  </si>
  <si>
    <t>TCH-RAM-SCI-04</t>
  </si>
  <si>
    <t>TCH-IH-SCI-08</t>
  </si>
  <si>
    <t>TCH-RAM-SOC-15</t>
  </si>
  <si>
    <t>TCH-IH-SCI-14</t>
  </si>
  <si>
    <t>TCH-RAM-PEH-08</t>
  </si>
  <si>
    <t>TCH-IH-MATH-05</t>
  </si>
  <si>
    <t>11-140-100-101-115-00-10-00-</t>
  </si>
  <si>
    <t>SAL-SUBS-IN DISTRICT</t>
  </si>
  <si>
    <t>11-140-100-101-116-00-10-00-</t>
  </si>
  <si>
    <t>11-140-100-101-117-00-10-00-</t>
  </si>
  <si>
    <t>SAL-OUT SUBS</t>
  </si>
  <si>
    <t>11-140-100-101-118-00-10-00-</t>
  </si>
  <si>
    <t>SAL-NEW TEACH ORIENT</t>
  </si>
  <si>
    <t>11-140-100-101 subtotal</t>
  </si>
  <si>
    <t>EQUALS DOE LINE 2140</t>
  </si>
  <si>
    <t>11-150-100-101-000-00-10-00-</t>
  </si>
  <si>
    <t>SAL-TEACH HOME INST</t>
  </si>
  <si>
    <t>Equals DOE Line 2500</t>
  </si>
  <si>
    <t>11-201-100-101-000-00-10-00-</t>
  </si>
  <si>
    <t>SAL TEACHERS  SP ED</t>
  </si>
  <si>
    <t>TCH-IH-RESR-05</t>
  </si>
  <si>
    <t>TCH-RAM-RESR-05</t>
  </si>
  <si>
    <t>Equals DOE Line 3500</t>
  </si>
  <si>
    <t>11-201-100-106-128-00-10-00-</t>
  </si>
  <si>
    <t>SALARIES - SP ED AIDE</t>
  </si>
  <si>
    <t>AIDE-IH-SPEC-07</t>
  </si>
  <si>
    <t>AIDE-IH-SPEC-05</t>
  </si>
  <si>
    <t>AIDE-RAM-SPEC-04</t>
  </si>
  <si>
    <t>AIDE-IH-SPEC-13</t>
  </si>
  <si>
    <t>Equals DOE Line 3520</t>
  </si>
  <si>
    <t>11-213-100-101-000-00-10-00-</t>
  </si>
  <si>
    <t>SAL-TEACHER RES RM</t>
  </si>
  <si>
    <t>TCH-IH-RESR-08</t>
  </si>
  <si>
    <t>TCH-RAM-MLR-01 (SCHUTTE)</t>
  </si>
  <si>
    <t>TCH-RAM-RESR-09</t>
  </si>
  <si>
    <t>TCH-IH-RESR-02</t>
  </si>
  <si>
    <t>TCH-RAM-RESR-01</t>
  </si>
  <si>
    <t>TCH-RAM-RESR-07</t>
  </si>
  <si>
    <t>TCH-RAM-RESR-10</t>
  </si>
  <si>
    <t>TCH-IH-RESR-10</t>
  </si>
  <si>
    <t>TCH-IH-RESR-07</t>
  </si>
  <si>
    <t>TCH-IH-RESR-09</t>
  </si>
  <si>
    <t>TCH-IH-RESR-01</t>
  </si>
  <si>
    <t>TCH-IH-RESR-03</t>
  </si>
  <si>
    <t>TCH-RAM-RESR-02</t>
  </si>
  <si>
    <t>TCH-IH-RESR-06</t>
  </si>
  <si>
    <t>TCH-RAM-RESR-04</t>
  </si>
  <si>
    <t>TCH-RAM-RESR-08</t>
  </si>
  <si>
    <t>TCH-RAM-RESR-06</t>
  </si>
  <si>
    <t>TCH-IH-RESR-04</t>
  </si>
  <si>
    <t>TCH-RAM-RESR-03</t>
  </si>
  <si>
    <t>TCH-IH-RESR-11</t>
  </si>
  <si>
    <t>Equals DOE Line 7000</t>
  </si>
  <si>
    <t>11-213-100-106-000-00-10-00-</t>
  </si>
  <si>
    <t>SAL- AIDES-RES ROOM</t>
  </si>
  <si>
    <t>AIDE-IH-SPEC-04</t>
  </si>
  <si>
    <t>AIDE-IH-SPEC-06</t>
  </si>
  <si>
    <t>Equals DOE Line 7020</t>
  </si>
  <si>
    <t>11-219-100-101-000-00-10-00</t>
  </si>
  <si>
    <t>Equals DOE Line 9260</t>
  </si>
  <si>
    <t>11-230-100-101-000-00-10-00-</t>
  </si>
  <si>
    <t>SAL-TEACHER-BASIC SK</t>
  </si>
  <si>
    <t>Equals DOE Line 11000</t>
  </si>
  <si>
    <t>11-401-100-110-126-00-01-00-</t>
  </si>
  <si>
    <t>SAL-ADVISORS-RHS</t>
  </si>
  <si>
    <t>11-401-100-110-126-00-02-00-</t>
  </si>
  <si>
    <t>SAL-ADVISORS-IH</t>
  </si>
  <si>
    <t>11-401-100-110-028-12-01-01-</t>
  </si>
  <si>
    <t>SAL-BAND CAMP-RHS</t>
  </si>
  <si>
    <t>11-401-100-110-028-12-02-02-</t>
  </si>
  <si>
    <t>SAL-BAND CAMP-IHHS</t>
  </si>
  <si>
    <t>11-401-100-110-127-00-01-00-</t>
  </si>
  <si>
    <t>SAL-CHAPERONES-RHS</t>
  </si>
  <si>
    <t>11-401-100-110-127-00-02-00-</t>
  </si>
  <si>
    <t>SAL-CHAPERONES-IH</t>
  </si>
  <si>
    <t>11-401-100-110-131-00-01-00-</t>
  </si>
  <si>
    <t>SAL-TRANSITION CHAP</t>
  </si>
  <si>
    <t>11-401-100-110-131-00-02-00-</t>
  </si>
  <si>
    <t>11-401-100-110-132-00-01-00-</t>
  </si>
  <si>
    <t>SAL-AFTER-SCHL MEDIA CTR</t>
  </si>
  <si>
    <t>11-401-100-110-132-00-02-00-</t>
  </si>
  <si>
    <t>SAL-AFTER SCHL MEDIA CTR</t>
  </si>
  <si>
    <t>11-401-100-100 Subtotal</t>
  </si>
  <si>
    <t>EQUALS DOE LINE 17000</t>
  </si>
  <si>
    <t>11-402-100-110-123-00-01-00-</t>
  </si>
  <si>
    <t>SALARIES-COACHES-RHS</t>
  </si>
  <si>
    <t>11-402-100-110-123-00-02-00-</t>
  </si>
  <si>
    <t>SALARIES-COACHES-IH</t>
  </si>
  <si>
    <t>ADA-RAM-ATHL-02</t>
  </si>
  <si>
    <t>11-402-100-110-130-00-10-00-</t>
  </si>
  <si>
    <t>SALARIES ATHL SECY</t>
  </si>
  <si>
    <t>ADA-IH-ATHL-01</t>
  </si>
  <si>
    <t>TRNR-RAM-ATHL-01</t>
  </si>
  <si>
    <t>11-402-100-110-910-00-10-00-</t>
  </si>
  <si>
    <t>SAL-ATHLETIC TRAINER</t>
  </si>
  <si>
    <t>TRNR-IH-ATHL-01</t>
  </si>
  <si>
    <t>11-402-100-110-813-00-01-08-</t>
  </si>
  <si>
    <t>SALARY GAME HLP-FALL</t>
  </si>
  <si>
    <t>11-402-100-110-813-00-02-09-</t>
  </si>
  <si>
    <t>11-402-100-110-814-00-01-08-</t>
  </si>
  <si>
    <t>SALARY GAME HLP-WINT</t>
  </si>
  <si>
    <t>11-402-100-110-814-00-02-09-</t>
  </si>
  <si>
    <t>11-402-100-110-815-00-01-08-</t>
  </si>
  <si>
    <t>SALARY GAME HLP-SPR</t>
  </si>
  <si>
    <t>11-402-100-110-815-00-02-09-</t>
  </si>
  <si>
    <t>11-402-100-100 Subtotal</t>
  </si>
  <si>
    <t>EQUALS DOE LINE 17500</t>
  </si>
  <si>
    <t>11-424-100-101-000-00-10-00-</t>
  </si>
  <si>
    <t>SAL SUPP TEACHER</t>
  </si>
  <si>
    <t>TCH-IH-SUPP-04</t>
  </si>
  <si>
    <t>TCH-IH-SUPP-05</t>
  </si>
  <si>
    <t>TCH-RAM-SUPP-09</t>
  </si>
  <si>
    <t>TCH-RAM-SUPP-06</t>
  </si>
  <si>
    <t>TCH-IH-SUPP-01</t>
  </si>
  <si>
    <t>TCH-IH-SUPP-07</t>
  </si>
  <si>
    <t>TCH-IH-SUPP-03</t>
  </si>
  <si>
    <t>TCH-RAM-SUPP-01</t>
  </si>
  <si>
    <t>TCH-IH-SUPP-06</t>
  </si>
  <si>
    <t>TCH-RAM-SUPP-07</t>
  </si>
  <si>
    <t>TCH-RAM-SUPP-04</t>
  </si>
  <si>
    <t>TCH-RAM-MLR-06</t>
  </si>
  <si>
    <t>Equals DOE Line 22000</t>
  </si>
  <si>
    <t>TOTAL SALARIES</t>
  </si>
  <si>
    <t>AGREES TO DOE SALARIES</t>
  </si>
  <si>
    <t>Salary</t>
  </si>
  <si>
    <t>Tax Levy</t>
  </si>
  <si>
    <t>&lt;&lt;&lt; Other = Total Revenues - total of:  (Salaries, Health, Transporation, Utilities, NESBIG)</t>
  </si>
  <si>
    <t>Budgeted Fund Balance</t>
  </si>
  <si>
    <t>Maintenance Reserve</t>
  </si>
  <si>
    <t>Total (excl. Carryover Encumbrances, Withdrawal from Capital Reserve)</t>
  </si>
  <si>
    <t>Other (SEMI)</t>
  </si>
  <si>
    <t>Out of District Tuition</t>
  </si>
  <si>
    <t>Benefits</t>
  </si>
  <si>
    <t>Other (not included in above lines)</t>
  </si>
  <si>
    <t>INPUTS</t>
  </si>
  <si>
    <t>Scroll to the right for District totals. Scroll down for General Fund and Debt Service</t>
  </si>
  <si>
    <t>FRANKLIN LAKES</t>
  </si>
  <si>
    <t>OAKLAND</t>
  </si>
  <si>
    <t>WYCKOFF</t>
  </si>
  <si>
    <t>Row</t>
  </si>
  <si>
    <t>TOTAL TAXES:  General Fund + Debt Service</t>
  </si>
  <si>
    <t>2022-2023 Current</t>
  </si>
  <si>
    <t>2023-2024</t>
  </si>
  <si>
    <t>$ increase (decrease)</t>
  </si>
  <si>
    <t>% change</t>
  </si>
  <si>
    <t>Total Local Tax Levy</t>
  </si>
  <si>
    <t>Total Tax Rate</t>
  </si>
  <si>
    <t>Average Priced Home</t>
  </si>
  <si>
    <t>Total Tax Levy per $100</t>
  </si>
  <si>
    <t>Total Taxes for Home Assessed at $500,000</t>
  </si>
  <si>
    <t>Total Taxes for Home Assessed at $700,000</t>
  </si>
  <si>
    <t>Total Taxes for Home Assessed at $900,000</t>
  </si>
  <si>
    <t>Total Taxes for Home Assessed at $1,100,000</t>
  </si>
  <si>
    <t>Assessed Valuations (Ratables)</t>
  </si>
  <si>
    <t>Equalized Valuations</t>
  </si>
  <si>
    <t>Regional Allocation Percentage (from State)</t>
  </si>
  <si>
    <t>GENERAL FUND TAXES</t>
  </si>
  <si>
    <t>General Fund Local Tax Levy</t>
  </si>
  <si>
    <t>General Fund Tax Rate</t>
  </si>
  <si>
    <t>General Fund Tax Levy per $100</t>
  </si>
  <si>
    <t>General Fund Tax for Average Priced Home at $500,000</t>
  </si>
  <si>
    <t>General Fund Tax for Average Priced Home at $700,000</t>
  </si>
  <si>
    <t>General Fund Tax for Average Priced Home at $900,000</t>
  </si>
  <si>
    <t>General Fund Tax for Average Priced Home at $1,100,000</t>
  </si>
  <si>
    <t>DEBT SERVICE TAXES (excludes General Fund)</t>
  </si>
  <si>
    <t>Debt Service Fund Balance</t>
  </si>
  <si>
    <t>Total Debt Service Local Tax Levy</t>
  </si>
  <si>
    <t>Debt Service Tax Rate</t>
  </si>
  <si>
    <t>Debt Service Tax Levy per $100</t>
  </si>
  <si>
    <t>Debt Service Tax for Average Priced Home</t>
  </si>
  <si>
    <t>Debt Service Tax for Average Priced Home at $500,000</t>
  </si>
  <si>
    <t>Debt Service Tax for Average Priced Home at $700,000</t>
  </si>
  <si>
    <t>Debt Service Tax for Average Priced Home at $900,000</t>
  </si>
  <si>
    <t>Debt Service Tax for Average Priced Home at $1,100,000</t>
  </si>
  <si>
    <t>DO NOT DELETE THE NUMBERS BELOW!!!</t>
  </si>
  <si>
    <t>Base Tax Levy</t>
  </si>
  <si>
    <t>Banked Cap</t>
  </si>
  <si>
    <t xml:space="preserve">General Fund Tax Levy (incl. Banked Cap) = </t>
  </si>
  <si>
    <t>HomepriceA</t>
  </si>
  <si>
    <t>HomepriceB</t>
  </si>
  <si>
    <t>HomepriceC</t>
  </si>
  <si>
    <t>HomepriceD</t>
  </si>
  <si>
    <r>
      <t xml:space="preserve">Surplus </t>
    </r>
    <r>
      <rPr>
        <sz val="16"/>
        <color rgb="FFFF0000"/>
        <rFont val="Calibri (Body)"/>
      </rPr>
      <t>(Deficit)</t>
    </r>
  </si>
  <si>
    <t>Other Insurance</t>
  </si>
  <si>
    <t>Allocation Percentage</t>
  </si>
  <si>
    <t>&lt;&lt;&lt; Other = Total Revenues - total of:  (Salaries, Health, Transporation, Utilities, Other Insurance)</t>
  </si>
  <si>
    <t>Scroll down for General Fund and Debt Service</t>
  </si>
  <si>
    <t>Out-of-District Tuition</t>
  </si>
  <si>
    <t>APPROPRIATIONS</t>
  </si>
  <si>
    <t>Expiring Banked Cap</t>
  </si>
  <si>
    <t>Other Banked Cap</t>
  </si>
  <si>
    <t>% Tax Levy</t>
  </si>
  <si>
    <t>Total Banked Cap</t>
  </si>
  <si>
    <t>Health Waiver</t>
  </si>
  <si>
    <t>Total (excl. Carryover Encumbrances, Withdrawal from Capital Reserve and Grants)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</si>
</sst>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"/>
    <numFmt numFmtId="165" formatCode="###,###,##0.00"/>
    <numFmt numFmtId="166" formatCode="###,###,###,##0.00;[Red]\-###,###,###,##0.00;0.00"/>
    <numFmt numFmtId="167" formatCode="mm/dd/yyyy\ hh:mm\ AM/PM"/>
    <numFmt numFmtId="168" formatCode="0.0"/>
    <numFmt numFmtId="169" formatCode="_(&quot;$&quot;* #,##0.0000_);_(&quot;$&quot;* \(#,##0.0000\);_(&quot;$&quot;* &quot;-&quot;??_);_(@_)"/>
    <numFmt numFmtId="170" formatCode="_(&quot;$&quot;* #,##0_);_(&quot;$&quot;* \(#,##0\);_(&quot;$&quot;* &quot;-&quot;??_);_(@_)"/>
    <numFmt numFmtId="171" formatCode="0.0%"/>
    <numFmt numFmtId="172" formatCode="0.000%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_(* #,##0.0000_);_(* \(#,##0.0000\);_(* &quot;-&quot;??_);_(@_)"/>
    <numFmt numFmtId="176" formatCode="_(* #,##0_);_(* \(#,##0\);_(* &quot;-&quot;??_);_(@_)"/>
    <numFmt numFmtId="177" formatCode="0.0000%"/>
    <numFmt numFmtId="178" formatCode="0.0000000%"/>
    <numFmt numFmtId="179" formatCode="0.00000000%"/>
    <numFmt numFmtId="180" formatCode="0.00000%"/>
    <numFmt numFmtId="181" formatCode="0.000000%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  <font>
      <sz val="8"/>
      <name val="Arial"/>
      <family val="2"/>
    </font>
    <font>
      <sz val="8"/>
      <name val="Arial mt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6"/>
      <color rgb="FFFF0000"/>
      <name val="Calibri (Body)"/>
    </font>
    <font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4" fillId="0" borderId="0" xfId="0" applyNumberFormat="1" applyFont="1"/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center"/>
    </xf>
    <xf numFmtId="44" fontId="3" fillId="0" borderId="0" xfId="2" applyFont="1" applyFill="1" applyBorder="1" applyAlignment="1">
      <alignment horizontal="right"/>
    </xf>
    <xf numFmtId="167" fontId="4" fillId="0" borderId="0" xfId="0" applyNumberFormat="1" applyFont="1"/>
    <xf numFmtId="166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44" fontId="3" fillId="0" borderId="0" xfId="2" applyFont="1" applyFill="1" applyAlignment="1">
      <alignment horizontal="right"/>
    </xf>
    <xf numFmtId="166" fontId="3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right"/>
    </xf>
    <xf numFmtId="4" fontId="4" fillId="0" borderId="0" xfId="1" applyNumberFormat="1" applyFont="1" applyFill="1" applyAlignment="1">
      <alignment horizontal="right"/>
    </xf>
    <xf numFmtId="44" fontId="3" fillId="0" borderId="0" xfId="1" applyNumberFormat="1" applyFont="1" applyFill="1" applyAlignment="1">
      <alignment horizontal="right"/>
    </xf>
    <xf numFmtId="44" fontId="9" fillId="0" borderId="0" xfId="0" applyNumberFormat="1" applyFont="1" applyAlignment="1">
      <alignment horizontal="right"/>
    </xf>
    <xf numFmtId="168" fontId="3" fillId="0" borderId="0" xfId="0" applyNumberFormat="1" applyFont="1"/>
    <xf numFmtId="44" fontId="3" fillId="0" borderId="0" xfId="0" applyNumberFormat="1" applyFont="1"/>
    <xf numFmtId="0" fontId="4" fillId="0" borderId="0" xfId="0" applyFont="1" applyAlignment="1">
      <alignment horizontal="center" wrapText="1"/>
    </xf>
    <xf numFmtId="44" fontId="4" fillId="0" borderId="0" xfId="0" applyNumberFormat="1" applyFont="1" applyAlignment="1">
      <alignment horizontal="center"/>
    </xf>
    <xf numFmtId="44" fontId="4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right"/>
    </xf>
    <xf numFmtId="10" fontId="10" fillId="2" borderId="1" xfId="0" applyNumberFormat="1" applyFont="1" applyFill="1" applyBorder="1"/>
    <xf numFmtId="9" fontId="10" fillId="2" borderId="1" xfId="3" applyFont="1" applyFill="1" applyBorder="1" applyAlignment="1">
      <alignment horizontal="right"/>
    </xf>
    <xf numFmtId="9" fontId="10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170" fontId="10" fillId="0" borderId="1" xfId="2" applyNumberFormat="1" applyFont="1" applyBorder="1"/>
    <xf numFmtId="170" fontId="10" fillId="0" borderId="0" xfId="2" applyNumberFormat="1" applyFont="1"/>
    <xf numFmtId="170" fontId="11" fillId="0" borderId="0" xfId="2" applyNumberFormat="1" applyFont="1"/>
    <xf numFmtId="170" fontId="11" fillId="0" borderId="0" xfId="2" applyNumberFormat="1" applyFont="1" applyAlignment="1">
      <alignment horizontal="center"/>
    </xf>
    <xf numFmtId="170" fontId="11" fillId="0" borderId="0" xfId="2" applyNumberFormat="1" applyFont="1" applyBorder="1"/>
    <xf numFmtId="3" fontId="12" fillId="0" borderId="0" xfId="0" applyNumberFormat="1" applyFont="1"/>
    <xf numFmtId="9" fontId="10" fillId="0" borderId="1" xfId="3" applyFont="1" applyBorder="1"/>
    <xf numFmtId="10" fontId="10" fillId="0" borderId="1" xfId="3" applyNumberFormat="1" applyFont="1" applyBorder="1"/>
    <xf numFmtId="10" fontId="10" fillId="0" borderId="0" xfId="3" applyNumberFormat="1" applyFont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72" fontId="10" fillId="0" borderId="0" xfId="3" applyNumberFormat="1" applyFont="1"/>
    <xf numFmtId="170" fontId="10" fillId="0" borderId="0" xfId="0" applyNumberFormat="1" applyFont="1"/>
    <xf numFmtId="0" fontId="10" fillId="0" borderId="0" xfId="0" applyFont="1" applyAlignment="1">
      <alignment horizontal="right" wrapText="1"/>
    </xf>
    <xf numFmtId="9" fontId="10" fillId="2" borderId="1" xfId="0" applyNumberFormat="1" applyFont="1" applyFill="1" applyBorder="1" applyAlignment="1">
      <alignment horizontal="right" wrapText="1"/>
    </xf>
    <xf numFmtId="0" fontId="13" fillId="0" borderId="0" xfId="4" applyFont="1" applyAlignment="1">
      <alignment horizontal="center"/>
    </xf>
    <xf numFmtId="0" fontId="14" fillId="0" borderId="0" xfId="4" applyFont="1" applyAlignment="1">
      <alignment wrapText="1"/>
    </xf>
    <xf numFmtId="9" fontId="15" fillId="0" borderId="0" xfId="4" applyNumberFormat="1" applyFont="1"/>
    <xf numFmtId="175" fontId="15" fillId="0" borderId="0" xfId="5" applyNumberFormat="1" applyFont="1"/>
    <xf numFmtId="10" fontId="15" fillId="0" borderId="0" xfId="4" applyNumberFormat="1" applyFont="1"/>
    <xf numFmtId="176" fontId="15" fillId="0" borderId="0" xfId="4" applyNumberFormat="1" applyFont="1"/>
    <xf numFmtId="0" fontId="15" fillId="0" borderId="0" xfId="4" applyFont="1"/>
    <xf numFmtId="0" fontId="15" fillId="0" borderId="0" xfId="4" applyFont="1" applyAlignment="1">
      <alignment wrapText="1"/>
    </xf>
    <xf numFmtId="0" fontId="13" fillId="0" borderId="0" xfId="4" applyFont="1" applyAlignment="1">
      <alignment horizontal="center" wrapText="1"/>
    </xf>
    <xf numFmtId="0" fontId="13" fillId="0" borderId="1" xfId="4" applyFont="1" applyBorder="1" applyAlignment="1">
      <alignment horizontal="center"/>
    </xf>
    <xf numFmtId="0" fontId="13" fillId="0" borderId="1" xfId="4" applyFont="1" applyBorder="1" applyAlignment="1">
      <alignment horizontal="left"/>
    </xf>
    <xf numFmtId="0" fontId="13" fillId="0" borderId="1" xfId="4" applyFont="1" applyBorder="1" applyAlignment="1">
      <alignment horizontal="center" wrapText="1"/>
    </xf>
    <xf numFmtId="10" fontId="13" fillId="0" borderId="1" xfId="4" applyNumberFormat="1" applyFont="1" applyBorder="1" applyAlignment="1">
      <alignment horizontal="center" wrapText="1"/>
    </xf>
    <xf numFmtId="0" fontId="15" fillId="0" borderId="1" xfId="4" applyFont="1" applyBorder="1"/>
    <xf numFmtId="170" fontId="15" fillId="3" borderId="1" xfId="6" applyNumberFormat="1" applyFont="1" applyFill="1" applyBorder="1"/>
    <xf numFmtId="176" fontId="15" fillId="3" borderId="1" xfId="4" applyNumberFormat="1" applyFont="1" applyFill="1" applyBorder="1"/>
    <xf numFmtId="177" fontId="15" fillId="3" borderId="1" xfId="4" applyNumberFormat="1" applyFont="1" applyFill="1" applyBorder="1"/>
    <xf numFmtId="176" fontId="15" fillId="4" borderId="1" xfId="4" applyNumberFormat="1" applyFont="1" applyFill="1" applyBorder="1"/>
    <xf numFmtId="177" fontId="15" fillId="4" borderId="1" xfId="4" applyNumberFormat="1" applyFont="1" applyFill="1" applyBorder="1"/>
    <xf numFmtId="176" fontId="15" fillId="5" borderId="1" xfId="4" applyNumberFormat="1" applyFont="1" applyFill="1" applyBorder="1"/>
    <xf numFmtId="177" fontId="15" fillId="5" borderId="1" xfId="4" applyNumberFormat="1" applyFont="1" applyFill="1" applyBorder="1"/>
    <xf numFmtId="176" fontId="13" fillId="6" borderId="1" xfId="7" applyNumberFormat="1" applyFont="1" applyFill="1" applyBorder="1"/>
    <xf numFmtId="176" fontId="15" fillId="7" borderId="1" xfId="4" applyNumberFormat="1" applyFont="1" applyFill="1" applyBorder="1"/>
    <xf numFmtId="10" fontId="15" fillId="7" borderId="1" xfId="4" applyNumberFormat="1" applyFont="1" applyFill="1" applyBorder="1"/>
    <xf numFmtId="178" fontId="15" fillId="3" borderId="1" xfId="4" applyNumberFormat="1" applyFont="1" applyFill="1" applyBorder="1"/>
    <xf numFmtId="43" fontId="15" fillId="3" borderId="1" xfId="7" applyFont="1" applyFill="1" applyBorder="1"/>
    <xf numFmtId="43" fontId="15" fillId="4" borderId="1" xfId="4" applyNumberFormat="1" applyFont="1" applyFill="1" applyBorder="1"/>
    <xf numFmtId="43" fontId="15" fillId="5" borderId="1" xfId="4" applyNumberFormat="1" applyFont="1" applyFill="1" applyBorder="1"/>
    <xf numFmtId="177" fontId="15" fillId="7" borderId="1" xfId="4" applyNumberFormat="1" applyFont="1" applyFill="1" applyBorder="1"/>
    <xf numFmtId="43" fontId="15" fillId="7" borderId="1" xfId="4" applyNumberFormat="1" applyFont="1" applyFill="1" applyBorder="1"/>
    <xf numFmtId="172" fontId="15" fillId="3" borderId="1" xfId="4" applyNumberFormat="1" applyFont="1" applyFill="1" applyBorder="1"/>
    <xf numFmtId="170" fontId="15" fillId="8" borderId="1" xfId="8" applyNumberFormat="1" applyFont="1" applyFill="1" applyBorder="1"/>
    <xf numFmtId="170" fontId="15" fillId="8" borderId="0" xfId="8" applyNumberFormat="1" applyFont="1" applyFill="1" applyBorder="1"/>
    <xf numFmtId="44" fontId="15" fillId="4" borderId="1" xfId="4" applyNumberFormat="1" applyFont="1" applyFill="1" applyBorder="1"/>
    <xf numFmtId="10" fontId="15" fillId="4" borderId="1" xfId="4" applyNumberFormat="1" applyFont="1" applyFill="1" applyBorder="1"/>
    <xf numFmtId="170" fontId="15" fillId="2" borderId="1" xfId="8" applyNumberFormat="1" applyFont="1" applyFill="1" applyBorder="1"/>
    <xf numFmtId="170" fontId="15" fillId="2" borderId="0" xfId="8" applyNumberFormat="1" applyFont="1" applyFill="1" applyBorder="1"/>
    <xf numFmtId="44" fontId="15" fillId="5" borderId="1" xfId="4" applyNumberFormat="1" applyFont="1" applyFill="1" applyBorder="1"/>
    <xf numFmtId="10" fontId="15" fillId="5" borderId="1" xfId="4" applyNumberFormat="1" applyFont="1" applyFill="1" applyBorder="1"/>
    <xf numFmtId="44" fontId="15" fillId="7" borderId="1" xfId="4" applyNumberFormat="1" applyFont="1" applyFill="1" applyBorder="1"/>
    <xf numFmtId="43" fontId="15" fillId="0" borderId="1" xfId="4" applyNumberFormat="1" applyFont="1" applyBorder="1"/>
    <xf numFmtId="174" fontId="15" fillId="3" borderId="1" xfId="4" applyNumberFormat="1" applyFont="1" applyFill="1" applyBorder="1"/>
    <xf numFmtId="44" fontId="15" fillId="3" borderId="1" xfId="4" applyNumberFormat="1" applyFont="1" applyFill="1" applyBorder="1"/>
    <xf numFmtId="10" fontId="15" fillId="3" borderId="1" xfId="4" applyNumberFormat="1" applyFont="1" applyFill="1" applyBorder="1"/>
    <xf numFmtId="173" fontId="15" fillId="4" borderId="1" xfId="4" applyNumberFormat="1" applyFont="1" applyFill="1" applyBorder="1"/>
    <xf numFmtId="173" fontId="15" fillId="4" borderId="1" xfId="6" applyNumberFormat="1" applyFont="1" applyFill="1" applyBorder="1"/>
    <xf numFmtId="169" fontId="15" fillId="5" borderId="1" xfId="6" applyNumberFormat="1" applyFont="1" applyFill="1" applyBorder="1"/>
    <xf numFmtId="169" fontId="15" fillId="7" borderId="1" xfId="4" applyNumberFormat="1" applyFont="1" applyFill="1" applyBorder="1"/>
    <xf numFmtId="170" fontId="15" fillId="3" borderId="1" xfId="4" applyNumberFormat="1" applyFont="1" applyFill="1" applyBorder="1"/>
    <xf numFmtId="170" fontId="15" fillId="4" borderId="1" xfId="4" applyNumberFormat="1" applyFont="1" applyFill="1" applyBorder="1"/>
    <xf numFmtId="170" fontId="15" fillId="5" borderId="1" xfId="4" applyNumberFormat="1" applyFont="1" applyFill="1" applyBorder="1"/>
    <xf numFmtId="170" fontId="13" fillId="6" borderId="1" xfId="6" applyNumberFormat="1" applyFont="1" applyFill="1" applyBorder="1"/>
    <xf numFmtId="10" fontId="15" fillId="0" borderId="0" xfId="9" applyNumberFormat="1" applyFont="1" applyBorder="1"/>
    <xf numFmtId="170" fontId="15" fillId="9" borderId="1" xfId="6" applyNumberFormat="1" applyFont="1" applyFill="1" applyBorder="1"/>
    <xf numFmtId="170" fontId="15" fillId="8" borderId="1" xfId="6" applyNumberFormat="1" applyFont="1" applyFill="1" applyBorder="1"/>
    <xf numFmtId="170" fontId="15" fillId="2" borderId="1" xfId="6" applyNumberFormat="1" applyFont="1" applyFill="1" applyBorder="1"/>
    <xf numFmtId="3" fontId="15" fillId="6" borderId="1" xfId="4" applyNumberFormat="1" applyFont="1" applyFill="1" applyBorder="1"/>
    <xf numFmtId="10" fontId="15" fillId="6" borderId="1" xfId="9" applyNumberFormat="1" applyFont="1" applyFill="1" applyBorder="1"/>
    <xf numFmtId="179" fontId="16" fillId="3" borderId="1" xfId="9" applyNumberFormat="1" applyFont="1" applyFill="1" applyBorder="1"/>
    <xf numFmtId="179" fontId="16" fillId="4" borderId="1" xfId="9" applyNumberFormat="1" applyFont="1" applyFill="1" applyBorder="1"/>
    <xf numFmtId="179" fontId="16" fillId="5" borderId="1" xfId="9" applyNumberFormat="1" applyFont="1" applyFill="1" applyBorder="1"/>
    <xf numFmtId="179" fontId="16" fillId="7" borderId="1" xfId="9" applyNumberFormat="1" applyFont="1" applyFill="1" applyBorder="1"/>
    <xf numFmtId="0" fontId="15" fillId="6" borderId="1" xfId="4" applyFont="1" applyFill="1" applyBorder="1"/>
    <xf numFmtId="44" fontId="16" fillId="0" borderId="0" xfId="6" applyFont="1" applyFill="1" applyBorder="1"/>
    <xf numFmtId="177" fontId="16" fillId="0" borderId="0" xfId="9" applyNumberFormat="1" applyFont="1" applyFill="1" applyBorder="1"/>
    <xf numFmtId="180" fontId="15" fillId="0" borderId="0" xfId="9" applyNumberFormat="1" applyFont="1" applyFill="1" applyBorder="1"/>
    <xf numFmtId="170" fontId="15" fillId="0" borderId="0" xfId="4" applyNumberFormat="1" applyFont="1"/>
    <xf numFmtId="0" fontId="13" fillId="0" borderId="0" xfId="4" applyFont="1"/>
    <xf numFmtId="43" fontId="15" fillId="0" borderId="0" xfId="4" applyNumberFormat="1" applyFont="1"/>
    <xf numFmtId="10" fontId="15" fillId="3" borderId="3" xfId="4" applyNumberFormat="1" applyFont="1" applyFill="1" applyBorder="1"/>
    <xf numFmtId="170" fontId="17" fillId="6" borderId="1" xfId="6" applyNumberFormat="1" applyFont="1" applyFill="1" applyBorder="1"/>
    <xf numFmtId="44" fontId="13" fillId="6" borderId="1" xfId="6" applyFont="1" applyFill="1" applyBorder="1"/>
    <xf numFmtId="170" fontId="18" fillId="0" borderId="0" xfId="4" applyNumberFormat="1" applyFont="1"/>
    <xf numFmtId="10" fontId="15" fillId="0" borderId="0" xfId="3" applyNumberFormat="1" applyFont="1"/>
    <xf numFmtId="181" fontId="15" fillId="3" borderId="1" xfId="4" applyNumberFormat="1" applyFont="1" applyFill="1" applyBorder="1"/>
    <xf numFmtId="181" fontId="15" fillId="4" borderId="1" xfId="4" applyNumberFormat="1" applyFont="1" applyFill="1" applyBorder="1"/>
    <xf numFmtId="181" fontId="15" fillId="5" borderId="1" xfId="4" applyNumberFormat="1" applyFont="1" applyFill="1" applyBorder="1"/>
    <xf numFmtId="181" fontId="15" fillId="7" borderId="1" xfId="4" applyNumberFormat="1" applyFont="1" applyFill="1" applyBorder="1"/>
    <xf numFmtId="9" fontId="15" fillId="0" borderId="0" xfId="3" applyFont="1"/>
    <xf numFmtId="44" fontId="13" fillId="0" borderId="0" xfId="6" applyFont="1" applyAlignment="1">
      <alignment horizontal="center" wrapText="1"/>
    </xf>
    <xf numFmtId="170" fontId="13" fillId="0" borderId="0" xfId="4" applyNumberFormat="1" applyFont="1" applyAlignment="1">
      <alignment horizontal="center" wrapText="1"/>
    </xf>
    <xf numFmtId="43" fontId="13" fillId="0" borderId="0" xfId="4" applyNumberFormat="1" applyFont="1" applyAlignment="1">
      <alignment horizontal="center" wrapText="1"/>
    </xf>
    <xf numFmtId="169" fontId="15" fillId="3" borderId="1" xfId="6" applyNumberFormat="1" applyFont="1" applyFill="1" applyBorder="1"/>
    <xf numFmtId="10" fontId="15" fillId="3" borderId="3" xfId="9" applyNumberFormat="1" applyFont="1" applyFill="1" applyBorder="1"/>
    <xf numFmtId="169" fontId="15" fillId="4" borderId="1" xfId="6" applyNumberFormat="1" applyFont="1" applyFill="1" applyBorder="1"/>
    <xf numFmtId="10" fontId="15" fillId="4" borderId="1" xfId="9" applyNumberFormat="1" applyFont="1" applyFill="1" applyBorder="1"/>
    <xf numFmtId="10" fontId="15" fillId="5" borderId="1" xfId="9" applyNumberFormat="1" applyFont="1" applyFill="1" applyBorder="1"/>
    <xf numFmtId="170" fontId="15" fillId="7" borderId="1" xfId="4" applyNumberFormat="1" applyFont="1" applyFill="1" applyBorder="1"/>
    <xf numFmtId="169" fontId="15" fillId="7" borderId="1" xfId="6" applyNumberFormat="1" applyFont="1" applyFill="1" applyBorder="1"/>
    <xf numFmtId="44" fontId="15" fillId="0" borderId="0" xfId="4" applyNumberFormat="1" applyFont="1"/>
    <xf numFmtId="170" fontId="15" fillId="10" borderId="1" xfId="4" applyNumberFormat="1" applyFont="1" applyFill="1" applyBorder="1"/>
    <xf numFmtId="170" fontId="15" fillId="0" borderId="0" xfId="6" applyNumberFormat="1" applyFont="1" applyBorder="1"/>
    <xf numFmtId="171" fontId="15" fillId="0" borderId="0" xfId="4" applyNumberFormat="1" applyFont="1"/>
    <xf numFmtId="44" fontId="15" fillId="0" borderId="0" xfId="6" applyFont="1" applyFill="1"/>
    <xf numFmtId="10" fontId="15" fillId="9" borderId="4" xfId="4" applyNumberFormat="1" applyFont="1" applyFill="1" applyBorder="1"/>
    <xf numFmtId="10" fontId="15" fillId="4" borderId="5" xfId="4" applyNumberFormat="1" applyFont="1" applyFill="1" applyBorder="1"/>
    <xf numFmtId="10" fontId="15" fillId="5" borderId="5" xfId="4" applyNumberFormat="1" applyFont="1" applyFill="1" applyBorder="1"/>
    <xf numFmtId="10" fontId="15" fillId="7" borderId="2" xfId="9" applyNumberFormat="1" applyFont="1" applyFill="1" applyBorder="1"/>
    <xf numFmtId="10" fontId="15" fillId="3" borderId="6" xfId="4" applyNumberFormat="1" applyFont="1" applyFill="1" applyBorder="1"/>
    <xf numFmtId="176" fontId="13" fillId="6" borderId="1" xfId="4" applyNumberFormat="1" applyFont="1" applyFill="1" applyBorder="1"/>
    <xf numFmtId="177" fontId="15" fillId="7" borderId="2" xfId="4" applyNumberFormat="1" applyFont="1" applyFill="1" applyBorder="1"/>
    <xf numFmtId="180" fontId="15" fillId="3" borderId="1" xfId="4" applyNumberFormat="1" applyFont="1" applyFill="1" applyBorder="1"/>
    <xf numFmtId="10" fontId="15" fillId="3" borderId="2" xfId="4" applyNumberFormat="1" applyFont="1" applyFill="1" applyBorder="1"/>
    <xf numFmtId="180" fontId="15" fillId="4" borderId="1" xfId="4" applyNumberFormat="1" applyFont="1" applyFill="1" applyBorder="1"/>
    <xf numFmtId="180" fontId="15" fillId="5" borderId="1" xfId="4" applyNumberFormat="1" applyFont="1" applyFill="1" applyBorder="1"/>
    <xf numFmtId="180" fontId="15" fillId="7" borderId="1" xfId="4" applyNumberFormat="1" applyFont="1" applyFill="1" applyBorder="1"/>
    <xf numFmtId="10" fontId="15" fillId="7" borderId="2" xfId="4" applyNumberFormat="1" applyFont="1" applyFill="1" applyBorder="1"/>
    <xf numFmtId="4" fontId="2" fillId="0" borderId="0" xfId="4" applyNumberFormat="1"/>
    <xf numFmtId="43" fontId="15" fillId="3" borderId="1" xfId="4" applyNumberFormat="1" applyFont="1" applyFill="1" applyBorder="1"/>
    <xf numFmtId="173" fontId="15" fillId="0" borderId="0" xfId="4" applyNumberFormat="1" applyFont="1"/>
    <xf numFmtId="10" fontId="15" fillId="3" borderId="7" xfId="4" applyNumberFormat="1" applyFont="1" applyFill="1" applyBorder="1"/>
    <xf numFmtId="10" fontId="15" fillId="4" borderId="2" xfId="4" applyNumberFormat="1" applyFont="1" applyFill="1" applyBorder="1"/>
    <xf numFmtId="10" fontId="15" fillId="5" borderId="2" xfId="4" applyNumberFormat="1" applyFont="1" applyFill="1" applyBorder="1"/>
    <xf numFmtId="169" fontId="15" fillId="0" borderId="0" xfId="6" applyNumberFormat="1" applyFont="1"/>
    <xf numFmtId="0" fontId="15" fillId="0" borderId="0" xfId="4" applyFont="1" applyAlignment="1">
      <alignment horizontal="center"/>
    </xf>
    <xf numFmtId="8" fontId="2" fillId="0" borderId="0" xfId="4" applyNumberFormat="1"/>
    <xf numFmtId="0" fontId="19" fillId="0" borderId="0" xfId="4" applyFont="1"/>
    <xf numFmtId="176" fontId="15" fillId="0" borderId="0" xfId="7" applyNumberFormat="1" applyFont="1"/>
    <xf numFmtId="176" fontId="15" fillId="0" borderId="0" xfId="7" applyNumberFormat="1" applyFont="1" applyBorder="1"/>
    <xf numFmtId="0" fontId="20" fillId="0" borderId="0" xfId="4" applyFont="1" applyAlignment="1">
      <alignment horizontal="right"/>
    </xf>
    <xf numFmtId="9" fontId="20" fillId="0" borderId="1" xfId="4" applyNumberFormat="1" applyFont="1" applyBorder="1"/>
    <xf numFmtId="9" fontId="20" fillId="0" borderId="1" xfId="3" applyFont="1" applyBorder="1"/>
    <xf numFmtId="0" fontId="20" fillId="0" borderId="0" xfId="4" applyFont="1"/>
    <xf numFmtId="176" fontId="20" fillId="0" borderId="0" xfId="7" applyNumberFormat="1" applyFont="1"/>
    <xf numFmtId="10" fontId="15" fillId="0" borderId="0" xfId="9" applyNumberFormat="1" applyFont="1"/>
    <xf numFmtId="176" fontId="20" fillId="0" borderId="1" xfId="7" applyNumberFormat="1" applyFont="1" applyBorder="1"/>
    <xf numFmtId="170" fontId="10" fillId="2" borderId="1" xfId="2" applyNumberFormat="1" applyFont="1" applyFill="1" applyBorder="1"/>
    <xf numFmtId="170" fontId="10" fillId="0" borderId="1" xfId="2" applyNumberFormat="1" applyFont="1" applyBorder="1" applyAlignment="1">
      <alignment horizontal="left"/>
    </xf>
    <xf numFmtId="10" fontId="11" fillId="0" borderId="0" xfId="3" applyNumberFormat="1" applyFont="1"/>
    <xf numFmtId="9" fontId="15" fillId="0" borderId="0" xfId="4" applyNumberFormat="1" applyFont="1" applyFill="1"/>
    <xf numFmtId="175" fontId="15" fillId="0" borderId="0" xfId="5" applyNumberFormat="1" applyFont="1" applyFill="1"/>
    <xf numFmtId="10" fontId="15" fillId="0" borderId="0" xfId="4" applyNumberFormat="1" applyFont="1" applyFill="1"/>
    <xf numFmtId="0" fontId="13" fillId="0" borderId="0" xfId="4" applyFont="1" applyFill="1" applyAlignment="1">
      <alignment horizontal="center" wrapText="1"/>
    </xf>
    <xf numFmtId="0" fontId="13" fillId="0" borderId="1" xfId="4" applyFont="1" applyFill="1" applyBorder="1" applyAlignment="1">
      <alignment horizontal="center" wrapText="1"/>
    </xf>
    <xf numFmtId="10" fontId="13" fillId="0" borderId="1" xfId="4" applyNumberFormat="1" applyFont="1" applyFill="1" applyBorder="1" applyAlignment="1">
      <alignment horizontal="center" wrapText="1"/>
    </xf>
    <xf numFmtId="170" fontId="15" fillId="0" borderId="1" xfId="6" applyNumberFormat="1" applyFont="1" applyFill="1" applyBorder="1"/>
    <xf numFmtId="176" fontId="15" fillId="0" borderId="1" xfId="4" applyNumberFormat="1" applyFont="1" applyFill="1" applyBorder="1"/>
    <xf numFmtId="177" fontId="15" fillId="0" borderId="1" xfId="4" applyNumberFormat="1" applyFont="1" applyFill="1" applyBorder="1"/>
    <xf numFmtId="178" fontId="15" fillId="0" borderId="1" xfId="4" applyNumberFormat="1" applyFont="1" applyFill="1" applyBorder="1"/>
    <xf numFmtId="43" fontId="15" fillId="0" borderId="1" xfId="7" applyFont="1" applyFill="1" applyBorder="1"/>
    <xf numFmtId="172" fontId="15" fillId="0" borderId="1" xfId="4" applyNumberFormat="1" applyFont="1" applyFill="1" applyBorder="1"/>
    <xf numFmtId="174" fontId="15" fillId="0" borderId="1" xfId="4" applyNumberFormat="1" applyFont="1" applyFill="1" applyBorder="1"/>
    <xf numFmtId="44" fontId="15" fillId="0" borderId="1" xfId="4" applyNumberFormat="1" applyFont="1" applyFill="1" applyBorder="1"/>
    <xf numFmtId="10" fontId="15" fillId="0" borderId="1" xfId="4" applyNumberFormat="1" applyFont="1" applyFill="1" applyBorder="1"/>
    <xf numFmtId="170" fontId="15" fillId="0" borderId="1" xfId="4" applyNumberFormat="1" applyFont="1" applyFill="1" applyBorder="1"/>
    <xf numFmtId="179" fontId="16" fillId="0" borderId="1" xfId="9" applyNumberFormat="1" applyFont="1" applyFill="1" applyBorder="1"/>
    <xf numFmtId="10" fontId="15" fillId="0" borderId="3" xfId="4" applyNumberFormat="1" applyFont="1" applyFill="1" applyBorder="1"/>
    <xf numFmtId="181" fontId="15" fillId="0" borderId="1" xfId="4" applyNumberFormat="1" applyFont="1" applyFill="1" applyBorder="1"/>
    <xf numFmtId="169" fontId="15" fillId="0" borderId="1" xfId="6" applyNumberFormat="1" applyFont="1" applyFill="1" applyBorder="1"/>
    <xf numFmtId="10" fontId="15" fillId="0" borderId="3" xfId="9" applyNumberFormat="1" applyFont="1" applyFill="1" applyBorder="1"/>
    <xf numFmtId="171" fontId="15" fillId="0" borderId="0" xfId="4" applyNumberFormat="1" applyFont="1" applyFill="1"/>
    <xf numFmtId="180" fontId="15" fillId="0" borderId="1" xfId="4" applyNumberFormat="1" applyFont="1" applyFill="1" applyBorder="1"/>
    <xf numFmtId="10" fontId="15" fillId="0" borderId="2" xfId="4" applyNumberFormat="1" applyFont="1" applyFill="1" applyBorder="1"/>
    <xf numFmtId="43" fontId="15" fillId="0" borderId="1" xfId="4" applyNumberFormat="1" applyFont="1" applyFill="1" applyBorder="1"/>
    <xf numFmtId="10" fontId="15" fillId="0" borderId="7" xfId="4" applyNumberFormat="1" applyFont="1" applyFill="1" applyBorder="1"/>
    <xf numFmtId="0" fontId="15" fillId="0" borderId="0" xfId="4" applyFont="1" applyFill="1"/>
    <xf numFmtId="8" fontId="2" fillId="0" borderId="0" xfId="4" applyNumberFormat="1" applyFill="1"/>
    <xf numFmtId="0" fontId="15" fillId="0" borderId="0" xfId="4" applyFont="1" applyFill="1" applyAlignment="1">
      <alignment horizontal="center"/>
    </xf>
    <xf numFmtId="176" fontId="15" fillId="0" borderId="0" xfId="7" applyNumberFormat="1" applyFont="1" applyFill="1"/>
    <xf numFmtId="176" fontId="15" fillId="0" borderId="0" xfId="7" applyNumberFormat="1" applyFont="1" applyFill="1" applyBorder="1"/>
    <xf numFmtId="9" fontId="20" fillId="0" borderId="1" xfId="4" applyNumberFormat="1" applyFont="1" applyFill="1" applyBorder="1"/>
    <xf numFmtId="9" fontId="20" fillId="0" borderId="1" xfId="3" applyFont="1" applyFill="1" applyBorder="1"/>
    <xf numFmtId="176" fontId="20" fillId="0" borderId="0" xfId="7" applyNumberFormat="1" applyFont="1" applyFill="1"/>
    <xf numFmtId="10" fontId="15" fillId="0" borderId="0" xfId="9" applyNumberFormat="1" applyFont="1" applyFill="1"/>
    <xf numFmtId="0" fontId="20" fillId="0" borderId="0" xfId="4" applyFont="1" applyFill="1"/>
    <xf numFmtId="176" fontId="20" fillId="0" borderId="1" xfId="7" applyNumberFormat="1" applyFont="1" applyFill="1" applyBorder="1"/>
    <xf numFmtId="10" fontId="15" fillId="0" borderId="8" xfId="4" applyNumberFormat="1" applyFont="1" applyFill="1" applyBorder="1"/>
    <xf numFmtId="170" fontId="10" fillId="11" borderId="1" xfId="2" applyNumberFormat="1" applyFont="1" applyFill="1" applyBorder="1"/>
    <xf numFmtId="10" fontId="10" fillId="2" borderId="1" xfId="0" applyNumberFormat="1" applyFont="1" applyFill="1" applyBorder="1" applyAlignment="1">
      <alignment horizontal="right"/>
    </xf>
    <xf numFmtId="10" fontId="10" fillId="2" borderId="1" xfId="3" applyNumberFormat="1" applyFont="1" applyFill="1" applyBorder="1" applyAlignment="1">
      <alignment horizontal="right"/>
    </xf>
    <xf numFmtId="10" fontId="10" fillId="2" borderId="1" xfId="0" applyNumberFormat="1" applyFont="1" applyFill="1" applyBorder="1" applyAlignment="1">
      <alignment horizontal="right" wrapText="1"/>
    </xf>
    <xf numFmtId="6" fontId="22" fillId="0" borderId="0" xfId="0" applyNumberFormat="1" applyFont="1"/>
    <xf numFmtId="10" fontId="10" fillId="0" borderId="0" xfId="0" applyNumberFormat="1" applyFont="1"/>
    <xf numFmtId="170" fontId="15" fillId="12" borderId="1" xfId="6" applyNumberFormat="1" applyFont="1" applyFill="1" applyBorder="1"/>
    <xf numFmtId="10" fontId="11" fillId="0" borderId="0" xfId="3" applyNumberFormat="1" applyFont="1" applyBorder="1"/>
  </cellXfs>
  <cellStyles count="10">
    <cellStyle name="Comma" xfId="1" builtinId="3"/>
    <cellStyle name="Comma 2" xfId="5"/>
    <cellStyle name="Comma 2 2" xfId="7"/>
    <cellStyle name="Currency" xfId="2" builtinId="4"/>
    <cellStyle name="Currency 2" xfId="6"/>
    <cellStyle name="Currency 2 6" xfId="8"/>
    <cellStyle name="Normal" xfId="0" builtinId="0"/>
    <cellStyle name="Normal 2" xfId="4"/>
    <cellStyle name="Percent" xfId="3" builtinId="5"/>
    <cellStyle name="Percent 2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stasvr\boehome\Users\tlambe\Documents\21-22%20BUDGET%20RI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stasvr\boehome\Users\tlambe\Documents\Budget\Budget%2023-24\Tax%20Impact%20prelim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DATA_impact diff home pri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C11" sqref="C11:C13"/>
    </sheetView>
  </sheetViews>
  <sheetFormatPr defaultColWidth="10.875" defaultRowHeight="21"/>
  <cols>
    <col min="1" max="1" width="44.375" style="61" bestFit="1" customWidth="1"/>
    <col min="2" max="2" width="18.5" style="45" customWidth="1"/>
    <col min="3" max="3" width="19.5" style="45" bestFit="1" customWidth="1"/>
    <col min="4" max="4" width="16.375" style="45" bestFit="1" customWidth="1"/>
    <col min="5" max="5" width="17" style="45" customWidth="1"/>
    <col min="6" max="6" width="15" style="45" customWidth="1"/>
    <col min="7" max="16384" width="10.875" style="45"/>
  </cols>
  <sheetData>
    <row r="1" spans="1:6">
      <c r="A1" s="63" t="s">
        <v>641</v>
      </c>
      <c r="B1" s="51" t="s">
        <v>8</v>
      </c>
    </row>
    <row r="2" spans="1:6">
      <c r="A2" s="62" t="s">
        <v>631</v>
      </c>
      <c r="B2" s="47">
        <v>3.5000000000000003E-2</v>
      </c>
    </row>
    <row r="3" spans="1:6">
      <c r="A3" s="62" t="s">
        <v>632</v>
      </c>
      <c r="B3" s="49">
        <v>0.02</v>
      </c>
    </row>
    <row r="4" spans="1:6">
      <c r="A4" s="62" t="s">
        <v>12</v>
      </c>
      <c r="B4" s="48">
        <v>0.1</v>
      </c>
    </row>
    <row r="5" spans="1:6">
      <c r="A5" s="62" t="s">
        <v>14</v>
      </c>
      <c r="B5" s="49">
        <v>0.11</v>
      </c>
    </row>
    <row r="6" spans="1:6">
      <c r="A6" s="62" t="s">
        <v>13</v>
      </c>
      <c r="B6" s="49">
        <v>0.06</v>
      </c>
    </row>
    <row r="7" spans="1:6">
      <c r="A7" s="62" t="s">
        <v>16</v>
      </c>
      <c r="B7" s="68">
        <v>0.06</v>
      </c>
    </row>
    <row r="8" spans="1:6">
      <c r="B8" s="66"/>
      <c r="C8" s="57"/>
    </row>
    <row r="9" spans="1:6">
      <c r="A9" s="63" t="s">
        <v>0</v>
      </c>
      <c r="B9" s="57"/>
      <c r="C9" s="66"/>
    </row>
    <row r="10" spans="1:6">
      <c r="B10" s="51" t="s">
        <v>6</v>
      </c>
      <c r="C10" s="51" t="s">
        <v>4</v>
      </c>
      <c r="D10" s="51" t="s">
        <v>5</v>
      </c>
      <c r="E10" s="51" t="s">
        <v>7</v>
      </c>
      <c r="F10" s="51" t="s">
        <v>8</v>
      </c>
    </row>
    <row r="11" spans="1:6">
      <c r="A11" s="62" t="s">
        <v>1</v>
      </c>
      <c r="B11" s="52">
        <v>51887660</v>
      </c>
      <c r="C11" s="52">
        <v>53724742</v>
      </c>
      <c r="D11" s="52">
        <f>ROUNDUP(C11*(1+TaxLevy_pct),0)</f>
        <v>54799237</v>
      </c>
      <c r="E11" s="52">
        <f t="shared" ref="E11:E17" si="0">D11-C11</f>
        <v>1074495</v>
      </c>
      <c r="F11" s="59">
        <f>E11/C11</f>
        <v>2.0000002978143663E-2</v>
      </c>
    </row>
    <row r="12" spans="1:6">
      <c r="A12" s="62" t="s">
        <v>2</v>
      </c>
      <c r="B12" s="52">
        <v>796216</v>
      </c>
      <c r="C12" s="52">
        <v>796216</v>
      </c>
      <c r="D12" s="52">
        <f>C12</f>
        <v>796216</v>
      </c>
      <c r="E12" s="52">
        <f t="shared" si="0"/>
        <v>0</v>
      </c>
      <c r="F12" s="59">
        <f t="shared" ref="F12:F16" si="1">E12/C12</f>
        <v>0</v>
      </c>
    </row>
    <row r="13" spans="1:6">
      <c r="A13" s="62" t="s">
        <v>3</v>
      </c>
      <c r="B13" s="52">
        <v>2553076</v>
      </c>
      <c r="C13" s="52">
        <v>2933483</v>
      </c>
      <c r="D13" s="52">
        <f>C13</f>
        <v>2933483</v>
      </c>
      <c r="E13" s="52">
        <f t="shared" si="0"/>
        <v>0</v>
      </c>
      <c r="F13" s="59">
        <f t="shared" si="1"/>
        <v>0</v>
      </c>
    </row>
    <row r="14" spans="1:6">
      <c r="A14" s="62" t="s">
        <v>634</v>
      </c>
      <c r="B14" s="52">
        <v>1400350</v>
      </c>
      <c r="C14" s="52">
        <v>1400001</v>
      </c>
      <c r="D14" s="52">
        <f>C14</f>
        <v>1400001</v>
      </c>
      <c r="E14" s="52">
        <f t="shared" si="0"/>
        <v>0</v>
      </c>
      <c r="F14" s="59">
        <f t="shared" si="1"/>
        <v>0</v>
      </c>
    </row>
    <row r="15" spans="1:6">
      <c r="A15" s="62" t="s">
        <v>635</v>
      </c>
      <c r="B15" s="52">
        <v>624500</v>
      </c>
      <c r="C15" s="52">
        <v>1124500</v>
      </c>
      <c r="D15" s="52">
        <f>C15</f>
        <v>1124500</v>
      </c>
      <c r="E15" s="52">
        <f t="shared" si="0"/>
        <v>0</v>
      </c>
      <c r="F15" s="59">
        <f t="shared" si="1"/>
        <v>0</v>
      </c>
    </row>
    <row r="16" spans="1:6">
      <c r="A16" s="62" t="s">
        <v>637</v>
      </c>
      <c r="B16" s="52">
        <f>B17-SUM(B11:B15)</f>
        <v>17071</v>
      </c>
      <c r="C16" s="52">
        <f>C17-SUM(C11:C15)</f>
        <v>14728</v>
      </c>
      <c r="D16" s="52">
        <f>C16</f>
        <v>14728</v>
      </c>
      <c r="E16" s="52">
        <f t="shared" si="0"/>
        <v>0</v>
      </c>
      <c r="F16" s="59">
        <f t="shared" si="1"/>
        <v>0</v>
      </c>
    </row>
    <row r="17" spans="1:7" ht="42">
      <c r="A17" s="64" t="s">
        <v>636</v>
      </c>
      <c r="B17" s="54">
        <f>59786755-2000000-507882</f>
        <v>57278873</v>
      </c>
      <c r="C17" s="54">
        <f>62993670-3000000</f>
        <v>59993670</v>
      </c>
      <c r="D17" s="54">
        <f>SUM(D11:D16)</f>
        <v>61068165</v>
      </c>
      <c r="E17" s="56">
        <f t="shared" si="0"/>
        <v>1074495</v>
      </c>
      <c r="F17" s="60">
        <f>E17/C17</f>
        <v>1.7910139519719332E-2</v>
      </c>
    </row>
    <row r="18" spans="1:7">
      <c r="B18" s="57"/>
      <c r="C18" s="57"/>
      <c r="D18" s="65"/>
      <c r="E18" s="53"/>
    </row>
    <row r="19" spans="1:7">
      <c r="B19" s="53"/>
      <c r="C19" s="53"/>
      <c r="D19" s="53"/>
      <c r="E19" s="53"/>
    </row>
    <row r="20" spans="1:7">
      <c r="B20" s="53"/>
      <c r="C20" s="53"/>
      <c r="D20" s="53"/>
      <c r="E20" s="53"/>
    </row>
    <row r="21" spans="1:7">
      <c r="A21" s="63" t="s">
        <v>10</v>
      </c>
      <c r="B21" s="53"/>
      <c r="C21" s="53"/>
      <c r="D21" s="53"/>
      <c r="E21" s="53"/>
    </row>
    <row r="22" spans="1:7">
      <c r="B22" s="55" t="s">
        <v>6</v>
      </c>
      <c r="C22" s="55" t="s">
        <v>4</v>
      </c>
      <c r="D22" s="55" t="s">
        <v>5</v>
      </c>
      <c r="E22" s="55" t="s">
        <v>7</v>
      </c>
      <c r="F22" s="51" t="s">
        <v>8</v>
      </c>
    </row>
    <row r="23" spans="1:7">
      <c r="A23" s="62" t="s">
        <v>11</v>
      </c>
      <c r="B23" s="52">
        <f>C23/1.032</f>
        <v>31804091.085271318</v>
      </c>
      <c r="C23" s="52">
        <f>ROUNDUP(PCR!G734,0)</f>
        <v>32821822</v>
      </c>
      <c r="D23" s="52">
        <f>ROUNDUP(C23*(1+Salary_pct),0)</f>
        <v>33970586</v>
      </c>
      <c r="E23" s="52">
        <f>D23-C23</f>
        <v>1148764</v>
      </c>
      <c r="F23" s="59">
        <f t="shared" ref="F23:F25" si="2">E23/C23</f>
        <v>3.5000007007532974E-2</v>
      </c>
    </row>
    <row r="24" spans="1:7">
      <c r="A24" s="62" t="s">
        <v>639</v>
      </c>
      <c r="B24" s="52">
        <v>7985000</v>
      </c>
      <c r="C24" s="52">
        <v>8500000</v>
      </c>
      <c r="D24" s="52">
        <f>ROUNDUP(C24*(1+Health_pct),0)</f>
        <v>9435000</v>
      </c>
      <c r="E24" s="52">
        <f t="shared" ref="E24:E30" si="3">D24-C24</f>
        <v>935000</v>
      </c>
      <c r="F24" s="59">
        <f t="shared" si="2"/>
        <v>0.11</v>
      </c>
    </row>
    <row r="25" spans="1:7">
      <c r="A25" s="62" t="s">
        <v>638</v>
      </c>
      <c r="B25" s="52">
        <v>4800000</v>
      </c>
      <c r="C25" s="52">
        <v>5500000</v>
      </c>
      <c r="D25" s="52">
        <f>C25*1.1</f>
        <v>6050000.0000000009</v>
      </c>
      <c r="E25" s="52">
        <f t="shared" si="3"/>
        <v>550000.00000000093</v>
      </c>
      <c r="F25" s="59">
        <f t="shared" si="2"/>
        <v>0.10000000000000017</v>
      </c>
    </row>
    <row r="26" spans="1:7">
      <c r="A26" s="62" t="s">
        <v>12</v>
      </c>
      <c r="B26" s="52">
        <v>3300000</v>
      </c>
      <c r="C26" s="52">
        <v>4300000</v>
      </c>
      <c r="D26" s="52">
        <f>ROUNDUP(C26*(1+Transp_pct),0)</f>
        <v>4730000</v>
      </c>
      <c r="E26" s="52">
        <f t="shared" si="3"/>
        <v>430000</v>
      </c>
      <c r="F26" s="59">
        <f>E26/C26</f>
        <v>0.1</v>
      </c>
    </row>
    <row r="27" spans="1:7">
      <c r="A27" s="62" t="s">
        <v>13</v>
      </c>
      <c r="B27" s="52">
        <v>290000</v>
      </c>
      <c r="C27" s="52">
        <v>300000</v>
      </c>
      <c r="D27" s="52">
        <f>ROUND(C27*(1+Util_pct),0)</f>
        <v>318000</v>
      </c>
      <c r="E27" s="52">
        <f t="shared" si="3"/>
        <v>18000</v>
      </c>
      <c r="F27" s="59">
        <f t="shared" ref="F27:F29" si="4">E27/C27</f>
        <v>0.06</v>
      </c>
    </row>
    <row r="28" spans="1:7">
      <c r="A28" s="62" t="s">
        <v>15</v>
      </c>
      <c r="B28" s="52">
        <v>580000</v>
      </c>
      <c r="C28" s="52">
        <v>600000</v>
      </c>
      <c r="D28" s="52">
        <f>ROUND(C28*(1+NESBIG_pct),0)</f>
        <v>636000</v>
      </c>
      <c r="E28" s="52">
        <f t="shared" si="3"/>
        <v>36000</v>
      </c>
      <c r="F28" s="59">
        <f t="shared" si="4"/>
        <v>0.06</v>
      </c>
    </row>
    <row r="29" spans="1:7">
      <c r="A29" s="62" t="s">
        <v>640</v>
      </c>
      <c r="B29" s="195">
        <v>8519782</v>
      </c>
      <c r="C29" s="195">
        <v>7971847</v>
      </c>
      <c r="D29" s="195">
        <f>C29</f>
        <v>7971847</v>
      </c>
      <c r="E29" s="195">
        <f t="shared" si="3"/>
        <v>0</v>
      </c>
      <c r="F29" s="59">
        <f t="shared" si="4"/>
        <v>0</v>
      </c>
      <c r="G29" s="50" t="s">
        <v>633</v>
      </c>
    </row>
    <row r="30" spans="1:7">
      <c r="A30" s="64" t="s">
        <v>9</v>
      </c>
      <c r="B30" s="54">
        <f t="shared" ref="B30:C30" si="5">B17</f>
        <v>57278873</v>
      </c>
      <c r="C30" s="54">
        <f t="shared" si="5"/>
        <v>59993670</v>
      </c>
      <c r="D30" s="54">
        <f>D17</f>
        <v>61068165</v>
      </c>
      <c r="E30" s="56">
        <f t="shared" si="3"/>
        <v>1074495</v>
      </c>
      <c r="F30" s="50">
        <f>E30/C30</f>
        <v>1.7910139519719332E-2</v>
      </c>
    </row>
    <row r="32" spans="1:7">
      <c r="B32" s="66"/>
      <c r="C32" s="66">
        <f>C29-B29</f>
        <v>-547935</v>
      </c>
      <c r="D32" s="66">
        <f>D29-C29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1"/>
  <sheetViews>
    <sheetView workbookViewId="0">
      <selection activeCell="E7" sqref="E7:E731"/>
    </sheetView>
  </sheetViews>
  <sheetFormatPr defaultColWidth="11" defaultRowHeight="15.75"/>
  <cols>
    <col min="1" max="1" width="35.125" style="3" bestFit="1" customWidth="1"/>
    <col min="2" max="2" width="17.875" style="3" bestFit="1" customWidth="1"/>
    <col min="3" max="3" width="6.375" style="3" bestFit="1" customWidth="1"/>
    <col min="4" max="4" width="7.5" style="4" bestFit="1" customWidth="1"/>
    <col min="5" max="5" width="29.5" style="3" bestFit="1" customWidth="1"/>
    <col min="6" max="6" width="17.625" style="4" bestFit="1" customWidth="1"/>
    <col min="7" max="7" width="17" style="3" bestFit="1" customWidth="1"/>
    <col min="8" max="8" width="17.375" style="3" bestFit="1" customWidth="1"/>
  </cols>
  <sheetData>
    <row r="1" spans="1:8">
      <c r="A1" s="1" t="s">
        <v>17</v>
      </c>
      <c r="B1" s="1"/>
      <c r="C1" s="1"/>
      <c r="D1" s="2"/>
    </row>
    <row r="2" spans="1:8">
      <c r="A2" s="1" t="s">
        <v>18</v>
      </c>
      <c r="B2" s="1"/>
      <c r="C2" s="1"/>
      <c r="D2" s="2"/>
    </row>
    <row r="3" spans="1:8">
      <c r="A3" s="1" t="s">
        <v>19</v>
      </c>
      <c r="B3" s="1" t="s">
        <v>20</v>
      </c>
      <c r="C3" s="1"/>
      <c r="D3" s="2"/>
    </row>
    <row r="4" spans="1:8">
      <c r="A4" s="5"/>
      <c r="B4" s="5"/>
      <c r="C4" s="6"/>
      <c r="D4" s="7"/>
      <c r="E4" s="5"/>
      <c r="F4" s="8"/>
      <c r="G4" s="6"/>
    </row>
    <row r="5" spans="1:8">
      <c r="A5" s="5"/>
      <c r="B5" s="5"/>
      <c r="C5" s="6"/>
      <c r="D5" s="7"/>
      <c r="E5" s="5"/>
      <c r="F5" s="8"/>
      <c r="G5" s="6"/>
    </row>
    <row r="6" spans="1:8">
      <c r="A6" s="9" t="s">
        <v>21</v>
      </c>
      <c r="B6" s="9" t="s">
        <v>22</v>
      </c>
      <c r="C6" s="10" t="s">
        <v>23</v>
      </c>
      <c r="D6" s="11" t="s">
        <v>24</v>
      </c>
      <c r="E6" s="9" t="s">
        <v>25</v>
      </c>
      <c r="F6" s="12" t="s">
        <v>26</v>
      </c>
      <c r="G6" s="10" t="s">
        <v>27</v>
      </c>
      <c r="H6" s="13"/>
    </row>
    <row r="7" spans="1:8">
      <c r="A7" s="14" t="s">
        <v>28</v>
      </c>
      <c r="B7" s="14" t="s">
        <v>29</v>
      </c>
      <c r="C7" s="15">
        <v>1</v>
      </c>
      <c r="D7" s="16">
        <v>4619</v>
      </c>
      <c r="E7" s="14"/>
      <c r="F7" s="17" t="s">
        <v>30</v>
      </c>
      <c r="G7" s="18">
        <v>59805</v>
      </c>
    </row>
    <row r="8" spans="1:8">
      <c r="A8" s="14" t="s">
        <v>28</v>
      </c>
      <c r="B8" s="14" t="s">
        <v>29</v>
      </c>
      <c r="C8" s="15">
        <v>1</v>
      </c>
      <c r="D8" s="16">
        <v>6469</v>
      </c>
      <c r="E8" s="14"/>
      <c r="F8" s="17" t="s">
        <v>31</v>
      </c>
      <c r="G8" s="18">
        <v>58005</v>
      </c>
    </row>
    <row r="9" spans="1:8">
      <c r="A9" s="14" t="s">
        <v>28</v>
      </c>
      <c r="B9" s="14" t="s">
        <v>29</v>
      </c>
      <c r="C9" s="15">
        <v>0.4</v>
      </c>
      <c r="D9" s="16">
        <v>6104</v>
      </c>
      <c r="E9" s="14"/>
      <c r="F9" s="17" t="s">
        <v>32</v>
      </c>
      <c r="G9" s="18">
        <v>28260</v>
      </c>
    </row>
    <row r="10" spans="1:8">
      <c r="A10" s="14" t="s">
        <v>28</v>
      </c>
      <c r="B10" s="14" t="s">
        <v>29</v>
      </c>
      <c r="C10" s="15">
        <v>0.4</v>
      </c>
      <c r="D10" s="16">
        <v>4893</v>
      </c>
      <c r="E10" s="14"/>
      <c r="F10" s="17" t="s">
        <v>33</v>
      </c>
      <c r="G10" s="18">
        <v>28580</v>
      </c>
    </row>
    <row r="11" spans="1:8">
      <c r="A11" s="14" t="s">
        <v>28</v>
      </c>
      <c r="B11" s="14" t="s">
        <v>29</v>
      </c>
      <c r="C11" s="15">
        <v>0.4</v>
      </c>
      <c r="D11" s="16">
        <v>5690</v>
      </c>
      <c r="E11" s="14"/>
      <c r="F11" s="17" t="s">
        <v>34</v>
      </c>
      <c r="G11" s="18">
        <v>28580</v>
      </c>
    </row>
    <row r="12" spans="1:8">
      <c r="A12" s="14" t="s">
        <v>28</v>
      </c>
      <c r="B12" s="14" t="s">
        <v>29</v>
      </c>
      <c r="C12" s="15">
        <v>0</v>
      </c>
      <c r="D12" s="16" t="s">
        <v>35</v>
      </c>
      <c r="E12" s="14"/>
      <c r="F12" s="17" t="s">
        <v>35</v>
      </c>
      <c r="G12" s="18">
        <v>6500</v>
      </c>
    </row>
    <row r="13" spans="1:8">
      <c r="A13" s="14" t="s">
        <v>28</v>
      </c>
      <c r="B13" s="14" t="s">
        <v>29</v>
      </c>
      <c r="C13" s="15">
        <v>0.4</v>
      </c>
      <c r="D13" s="16">
        <v>5289</v>
      </c>
      <c r="E13" s="14"/>
      <c r="F13" s="17" t="s">
        <v>36</v>
      </c>
      <c r="G13" s="19">
        <v>30350</v>
      </c>
    </row>
    <row r="14" spans="1:8">
      <c r="A14" s="14"/>
      <c r="B14" s="14"/>
      <c r="C14" s="15"/>
      <c r="D14" s="16"/>
      <c r="E14" s="14"/>
      <c r="F14" s="17"/>
      <c r="G14" s="20">
        <f>SUM(G7:G13)</f>
        <v>240080</v>
      </c>
      <c r="H14" s="3" t="s">
        <v>37</v>
      </c>
    </row>
    <row r="15" spans="1:8">
      <c r="A15" s="14"/>
      <c r="B15" s="14"/>
      <c r="C15" s="15"/>
      <c r="D15" s="16"/>
      <c r="E15" s="14"/>
      <c r="F15" s="17"/>
      <c r="G15" s="19"/>
    </row>
    <row r="16" spans="1:8">
      <c r="A16" s="14"/>
      <c r="B16" s="14"/>
      <c r="C16" s="15"/>
      <c r="D16" s="16"/>
      <c r="E16" s="14"/>
      <c r="F16" s="17"/>
      <c r="G16" s="18"/>
    </row>
    <row r="17" spans="1:8">
      <c r="A17" s="14" t="s">
        <v>38</v>
      </c>
      <c r="B17" s="14" t="s">
        <v>39</v>
      </c>
      <c r="C17" s="15">
        <v>1</v>
      </c>
      <c r="D17" s="16">
        <v>6529</v>
      </c>
      <c r="E17" s="14"/>
      <c r="F17" s="17" t="s">
        <v>40</v>
      </c>
      <c r="G17" s="18">
        <v>71587</v>
      </c>
    </row>
    <row r="18" spans="1:8">
      <c r="A18" s="14" t="s">
        <v>38</v>
      </c>
      <c r="B18" s="14" t="s">
        <v>39</v>
      </c>
      <c r="C18" s="15">
        <v>1</v>
      </c>
      <c r="D18" s="16">
        <v>6358</v>
      </c>
      <c r="E18" s="14"/>
      <c r="F18" s="17" t="s">
        <v>41</v>
      </c>
      <c r="G18" s="18">
        <v>65012</v>
      </c>
    </row>
    <row r="19" spans="1:8">
      <c r="A19" s="14" t="s">
        <v>38</v>
      </c>
      <c r="B19" s="14" t="s">
        <v>39</v>
      </c>
      <c r="C19" s="15">
        <v>1</v>
      </c>
      <c r="D19" s="16">
        <v>5832</v>
      </c>
      <c r="E19" s="14"/>
      <c r="F19" s="17" t="s">
        <v>42</v>
      </c>
      <c r="G19" s="18">
        <v>87212</v>
      </c>
    </row>
    <row r="20" spans="1:8">
      <c r="A20" s="14" t="s">
        <v>38</v>
      </c>
      <c r="B20" s="14" t="s">
        <v>39</v>
      </c>
      <c r="C20" s="15">
        <v>1</v>
      </c>
      <c r="D20" s="16">
        <v>5997</v>
      </c>
      <c r="E20" s="14"/>
      <c r="F20" s="17" t="s">
        <v>43</v>
      </c>
      <c r="G20" s="18">
        <v>92679</v>
      </c>
    </row>
    <row r="21" spans="1:8">
      <c r="A21" s="14" t="s">
        <v>38</v>
      </c>
      <c r="B21" s="14" t="s">
        <v>39</v>
      </c>
      <c r="C21" s="15"/>
      <c r="D21" s="16"/>
      <c r="E21" s="14"/>
      <c r="F21" s="17" t="s">
        <v>35</v>
      </c>
      <c r="G21" s="19">
        <v>30000</v>
      </c>
    </row>
    <row r="22" spans="1:8">
      <c r="A22" s="21"/>
      <c r="B22" s="14"/>
      <c r="C22" s="15"/>
      <c r="D22" s="16"/>
      <c r="E22" s="14"/>
      <c r="F22" s="17"/>
      <c r="G22" s="20">
        <f>SUM(G17:G21)</f>
        <v>346490</v>
      </c>
      <c r="H22" s="3" t="s">
        <v>44</v>
      </c>
    </row>
    <row r="23" spans="1:8">
      <c r="A23" s="14"/>
      <c r="B23" s="14"/>
      <c r="C23" s="15"/>
      <c r="D23" s="16"/>
      <c r="E23" s="14"/>
      <c r="F23" s="17"/>
      <c r="G23" s="20"/>
    </row>
    <row r="24" spans="1:8">
      <c r="A24" s="14"/>
      <c r="B24" s="14"/>
      <c r="C24" s="15"/>
      <c r="D24" s="16"/>
      <c r="E24" s="14"/>
      <c r="F24" s="17"/>
      <c r="G24" s="18"/>
    </row>
    <row r="25" spans="1:8">
      <c r="A25" s="14" t="s">
        <v>45</v>
      </c>
      <c r="B25" s="14" t="s">
        <v>46</v>
      </c>
      <c r="C25" s="15">
        <v>0</v>
      </c>
      <c r="D25" s="17" t="s">
        <v>35</v>
      </c>
      <c r="E25" s="22"/>
      <c r="F25" s="23" t="s">
        <v>35</v>
      </c>
      <c r="G25" s="24">
        <v>70200</v>
      </c>
    </row>
    <row r="26" spans="1:8">
      <c r="A26" s="14"/>
      <c r="B26" s="14"/>
      <c r="C26" s="15"/>
      <c r="D26" s="17"/>
      <c r="E26" s="25"/>
      <c r="F26" s="23"/>
      <c r="G26" s="24"/>
    </row>
    <row r="27" spans="1:8">
      <c r="A27" s="14" t="s">
        <v>47</v>
      </c>
      <c r="B27" s="14" t="s">
        <v>48</v>
      </c>
      <c r="C27" s="15">
        <v>1</v>
      </c>
      <c r="D27" s="16">
        <v>6682</v>
      </c>
      <c r="E27" s="14"/>
      <c r="F27" s="17" t="s">
        <v>49</v>
      </c>
      <c r="G27" s="18">
        <v>32121</v>
      </c>
    </row>
    <row r="28" spans="1:8">
      <c r="A28" s="14" t="s">
        <v>47</v>
      </c>
      <c r="B28" s="14" t="s">
        <v>48</v>
      </c>
      <c r="C28" s="15">
        <v>1</v>
      </c>
      <c r="D28" s="16">
        <v>6446</v>
      </c>
      <c r="E28" s="14"/>
      <c r="F28" s="17" t="s">
        <v>50</v>
      </c>
      <c r="G28" s="18">
        <v>32121</v>
      </c>
    </row>
    <row r="29" spans="1:8">
      <c r="A29" s="14" t="s">
        <v>47</v>
      </c>
      <c r="B29" s="14" t="s">
        <v>48</v>
      </c>
      <c r="C29" s="15">
        <v>1</v>
      </c>
      <c r="D29" s="16">
        <v>6523</v>
      </c>
      <c r="E29" s="14"/>
      <c r="F29" s="17" t="s">
        <v>51</v>
      </c>
      <c r="G29" s="18">
        <v>32121</v>
      </c>
    </row>
    <row r="30" spans="1:8">
      <c r="A30" s="14" t="s">
        <v>47</v>
      </c>
      <c r="B30" s="14" t="s">
        <v>48</v>
      </c>
      <c r="C30" s="15">
        <v>1</v>
      </c>
      <c r="D30" s="16">
        <v>5873</v>
      </c>
      <c r="E30" s="14"/>
      <c r="F30" s="17" t="s">
        <v>52</v>
      </c>
      <c r="G30" s="26">
        <v>32121</v>
      </c>
    </row>
    <row r="31" spans="1:8">
      <c r="A31" s="14" t="s">
        <v>47</v>
      </c>
      <c r="B31" s="14" t="s">
        <v>48</v>
      </c>
      <c r="C31" s="15">
        <v>1</v>
      </c>
      <c r="D31" s="16">
        <v>6180</v>
      </c>
      <c r="E31" s="14"/>
      <c r="F31" s="17" t="s">
        <v>53</v>
      </c>
      <c r="G31" s="26">
        <v>32121</v>
      </c>
    </row>
    <row r="32" spans="1:8">
      <c r="A32" s="14" t="s">
        <v>47</v>
      </c>
      <c r="B32" s="14" t="s">
        <v>48</v>
      </c>
      <c r="C32" s="15">
        <v>0.3</v>
      </c>
      <c r="D32" s="27">
        <v>6131</v>
      </c>
      <c r="E32" s="28"/>
      <c r="F32" s="29" t="s">
        <v>54</v>
      </c>
      <c r="G32" s="18">
        <v>12527</v>
      </c>
    </row>
    <row r="33" spans="1:8">
      <c r="A33" s="14" t="s">
        <v>47</v>
      </c>
      <c r="B33" s="14" t="s">
        <v>48</v>
      </c>
      <c r="C33" s="15">
        <v>1</v>
      </c>
      <c r="D33" s="27">
        <v>6956</v>
      </c>
      <c r="E33" s="28"/>
      <c r="F33" s="17" t="s">
        <v>55</v>
      </c>
      <c r="G33" s="18">
        <v>30421</v>
      </c>
    </row>
    <row r="34" spans="1:8">
      <c r="A34" s="14" t="s">
        <v>47</v>
      </c>
      <c r="B34" s="14" t="s">
        <v>48</v>
      </c>
      <c r="C34" s="15">
        <v>1</v>
      </c>
      <c r="D34" s="16">
        <v>6117</v>
      </c>
      <c r="E34" s="14"/>
      <c r="F34" s="17" t="s">
        <v>56</v>
      </c>
      <c r="G34" s="18">
        <v>32121</v>
      </c>
    </row>
    <row r="35" spans="1:8">
      <c r="A35" s="14" t="s">
        <v>47</v>
      </c>
      <c r="B35" s="14" t="s">
        <v>48</v>
      </c>
      <c r="C35" s="15">
        <v>1</v>
      </c>
      <c r="D35" s="16">
        <v>5813</v>
      </c>
      <c r="E35" s="14"/>
      <c r="F35" s="17" t="s">
        <v>57</v>
      </c>
      <c r="G35" s="18">
        <v>33021</v>
      </c>
    </row>
    <row r="36" spans="1:8">
      <c r="A36" s="14" t="s">
        <v>47</v>
      </c>
      <c r="B36" s="14" t="s">
        <v>48</v>
      </c>
      <c r="C36" s="15">
        <v>1</v>
      </c>
      <c r="D36" s="16">
        <v>6829</v>
      </c>
      <c r="E36" s="14"/>
      <c r="F36" s="17" t="s">
        <v>58</v>
      </c>
      <c r="G36" s="18">
        <v>32121</v>
      </c>
    </row>
    <row r="37" spans="1:8">
      <c r="A37" s="14" t="s">
        <v>47</v>
      </c>
      <c r="B37" s="14" t="s">
        <v>48</v>
      </c>
      <c r="C37" s="15">
        <v>1</v>
      </c>
      <c r="D37" s="16">
        <v>6902</v>
      </c>
      <c r="E37" s="14"/>
      <c r="F37" s="17" t="s">
        <v>59</v>
      </c>
      <c r="G37" s="18">
        <v>32121</v>
      </c>
    </row>
    <row r="38" spans="1:8">
      <c r="A38" s="14" t="s">
        <v>47</v>
      </c>
      <c r="B38" s="14" t="s">
        <v>48</v>
      </c>
      <c r="C38" s="15">
        <v>1</v>
      </c>
      <c r="D38" s="16">
        <v>5598</v>
      </c>
      <c r="E38" s="14"/>
      <c r="F38" s="17" t="s">
        <v>60</v>
      </c>
      <c r="G38" s="18">
        <v>33021</v>
      </c>
    </row>
    <row r="39" spans="1:8">
      <c r="A39" s="14" t="s">
        <v>47</v>
      </c>
      <c r="B39" s="14" t="s">
        <v>48</v>
      </c>
      <c r="C39" s="15">
        <v>1</v>
      </c>
      <c r="D39" s="16">
        <v>6379</v>
      </c>
      <c r="E39" s="14"/>
      <c r="F39" s="17" t="s">
        <v>61</v>
      </c>
      <c r="G39" s="18">
        <v>32121</v>
      </c>
    </row>
    <row r="40" spans="1:8">
      <c r="A40" s="14" t="s">
        <v>47</v>
      </c>
      <c r="B40" s="14" t="s">
        <v>48</v>
      </c>
      <c r="C40" s="15">
        <v>1</v>
      </c>
      <c r="D40" s="16">
        <v>6447</v>
      </c>
      <c r="E40" s="14"/>
      <c r="F40" s="17" t="s">
        <v>62</v>
      </c>
      <c r="G40" s="18">
        <v>32121</v>
      </c>
    </row>
    <row r="41" spans="1:8">
      <c r="A41" s="14" t="s">
        <v>47</v>
      </c>
      <c r="B41" s="14" t="s">
        <v>48</v>
      </c>
      <c r="C41" s="15">
        <v>1</v>
      </c>
      <c r="D41" s="16">
        <v>6550</v>
      </c>
      <c r="E41" s="14"/>
      <c r="F41" s="17" t="s">
        <v>63</v>
      </c>
      <c r="G41" s="18">
        <v>32121</v>
      </c>
    </row>
    <row r="42" spans="1:8">
      <c r="A42" s="14" t="s">
        <v>47</v>
      </c>
      <c r="B42" s="14" t="s">
        <v>48</v>
      </c>
      <c r="C42" s="15">
        <v>1</v>
      </c>
      <c r="D42" s="16">
        <v>6436</v>
      </c>
      <c r="E42" s="14"/>
      <c r="F42" s="17" t="s">
        <v>64</v>
      </c>
      <c r="G42" s="19">
        <v>32121</v>
      </c>
    </row>
    <row r="43" spans="1:8">
      <c r="A43" s="14"/>
      <c r="B43" s="14"/>
      <c r="C43" s="15"/>
      <c r="D43" s="17"/>
      <c r="E43" s="25"/>
      <c r="F43" s="23"/>
      <c r="G43" s="24">
        <f>SUM(G27:G42)</f>
        <v>494442</v>
      </c>
    </row>
    <row r="44" spans="1:8">
      <c r="A44" s="14"/>
      <c r="B44" s="14"/>
      <c r="C44" s="15"/>
      <c r="D44" s="16"/>
      <c r="E44" s="14"/>
      <c r="F44" s="17"/>
      <c r="G44" s="18"/>
    </row>
    <row r="45" spans="1:8">
      <c r="A45" s="21"/>
      <c r="B45" s="5"/>
      <c r="C45" s="30"/>
      <c r="D45" s="7"/>
      <c r="E45" s="5"/>
      <c r="F45" s="8"/>
      <c r="G45" s="20">
        <f>G43+G25</f>
        <v>564642</v>
      </c>
      <c r="H45" s="1" t="s">
        <v>65</v>
      </c>
    </row>
    <row r="46" spans="1:8">
      <c r="A46" s="14"/>
      <c r="B46" s="14"/>
      <c r="C46" s="15"/>
      <c r="D46" s="16"/>
      <c r="E46" s="14"/>
      <c r="F46" s="17"/>
      <c r="G46" s="18"/>
    </row>
    <row r="47" spans="1:8">
      <c r="A47" s="14"/>
      <c r="B47" s="14"/>
      <c r="C47" s="15"/>
      <c r="D47" s="16"/>
      <c r="E47" s="14"/>
      <c r="F47" s="17"/>
      <c r="G47" s="18"/>
    </row>
    <row r="48" spans="1:8">
      <c r="A48" s="14"/>
      <c r="B48" s="14"/>
      <c r="C48" s="15"/>
      <c r="D48" s="16"/>
      <c r="E48" s="14"/>
      <c r="F48" s="17"/>
      <c r="G48" s="18"/>
    </row>
    <row r="49" spans="1:7">
      <c r="A49" s="14" t="s">
        <v>66</v>
      </c>
      <c r="B49" s="14" t="s">
        <v>67</v>
      </c>
      <c r="C49" s="15">
        <v>1</v>
      </c>
      <c r="D49" s="16">
        <v>6831</v>
      </c>
      <c r="E49" s="14"/>
      <c r="F49" s="17" t="s">
        <v>68</v>
      </c>
      <c r="G49" s="18">
        <v>89539</v>
      </c>
    </row>
    <row r="50" spans="1:7">
      <c r="A50" s="14" t="s">
        <v>66</v>
      </c>
      <c r="B50" s="14" t="s">
        <v>67</v>
      </c>
      <c r="C50" s="15">
        <v>1</v>
      </c>
      <c r="D50" s="16">
        <v>6201</v>
      </c>
      <c r="E50" s="14"/>
      <c r="F50" s="17" t="s">
        <v>69</v>
      </c>
      <c r="G50" s="18">
        <v>67317</v>
      </c>
    </row>
    <row r="51" spans="1:7">
      <c r="A51" s="14" t="s">
        <v>66</v>
      </c>
      <c r="B51" s="14" t="s">
        <v>67</v>
      </c>
      <c r="C51" s="15">
        <v>1</v>
      </c>
      <c r="D51" s="16">
        <v>6670</v>
      </c>
      <c r="E51" s="14"/>
      <c r="F51" s="17" t="s">
        <v>70</v>
      </c>
      <c r="G51" s="18">
        <v>61863</v>
      </c>
    </row>
    <row r="52" spans="1:7">
      <c r="A52" s="14" t="s">
        <v>66</v>
      </c>
      <c r="B52" s="14" t="s">
        <v>67</v>
      </c>
      <c r="C52" s="15">
        <v>1</v>
      </c>
      <c r="D52" s="16">
        <v>6404</v>
      </c>
      <c r="E52" s="14"/>
      <c r="F52" s="17" t="s">
        <v>71</v>
      </c>
      <c r="G52" s="18">
        <v>105311</v>
      </c>
    </row>
    <row r="53" spans="1:7">
      <c r="A53" s="14" t="s">
        <v>66</v>
      </c>
      <c r="B53" s="14" t="s">
        <v>67</v>
      </c>
      <c r="C53" s="15">
        <v>1</v>
      </c>
      <c r="D53" s="16">
        <v>4664</v>
      </c>
      <c r="E53" s="14"/>
      <c r="F53" s="17" t="s">
        <v>72</v>
      </c>
      <c r="G53" s="18">
        <v>112711</v>
      </c>
    </row>
    <row r="54" spans="1:7">
      <c r="A54" s="14" t="s">
        <v>66</v>
      </c>
      <c r="B54" s="14" t="s">
        <v>67</v>
      </c>
      <c r="C54" s="15">
        <v>1</v>
      </c>
      <c r="D54" s="16">
        <v>6551</v>
      </c>
      <c r="E54" s="14"/>
      <c r="F54" s="17" t="s">
        <v>73</v>
      </c>
      <c r="G54" s="18">
        <v>68568</v>
      </c>
    </row>
    <row r="55" spans="1:7">
      <c r="A55" s="14" t="s">
        <v>66</v>
      </c>
      <c r="B55" s="14" t="s">
        <v>67</v>
      </c>
      <c r="C55" s="15">
        <v>0.6</v>
      </c>
      <c r="D55" s="16">
        <v>5476</v>
      </c>
      <c r="E55" s="14"/>
      <c r="F55" s="17" t="s">
        <v>74</v>
      </c>
      <c r="G55" s="18">
        <v>112336</v>
      </c>
    </row>
    <row r="56" spans="1:7">
      <c r="A56" s="14" t="s">
        <v>66</v>
      </c>
      <c r="B56" s="14" t="s">
        <v>67</v>
      </c>
      <c r="C56" s="15">
        <v>1</v>
      </c>
      <c r="D56" s="16">
        <v>6389</v>
      </c>
      <c r="E56" s="14"/>
      <c r="F56" s="17" t="s">
        <v>75</v>
      </c>
      <c r="G56" s="18">
        <v>105311</v>
      </c>
    </row>
    <row r="57" spans="1:7">
      <c r="A57" s="14" t="s">
        <v>66</v>
      </c>
      <c r="B57" s="14" t="s">
        <v>67</v>
      </c>
      <c r="C57" s="15">
        <v>0.6</v>
      </c>
      <c r="D57" s="16">
        <v>5798</v>
      </c>
      <c r="E57" s="14"/>
      <c r="F57" s="17" t="s">
        <v>76</v>
      </c>
      <c r="G57" s="18">
        <v>119197</v>
      </c>
    </row>
    <row r="58" spans="1:7">
      <c r="A58" s="14" t="s">
        <v>66</v>
      </c>
      <c r="B58" s="14" t="s">
        <v>67</v>
      </c>
      <c r="C58" s="15">
        <v>1</v>
      </c>
      <c r="D58" s="16">
        <v>6438</v>
      </c>
      <c r="E58" s="14"/>
      <c r="F58" s="17" t="s">
        <v>77</v>
      </c>
      <c r="G58" s="18">
        <v>86396</v>
      </c>
    </row>
    <row r="59" spans="1:7">
      <c r="A59" s="14" t="s">
        <v>66</v>
      </c>
      <c r="B59" s="14" t="s">
        <v>67</v>
      </c>
      <c r="C59" s="15">
        <v>1</v>
      </c>
      <c r="D59" s="16">
        <v>5199</v>
      </c>
      <c r="E59" s="14"/>
      <c r="F59" s="17" t="s">
        <v>78</v>
      </c>
      <c r="G59" s="18">
        <v>113211</v>
      </c>
    </row>
    <row r="60" spans="1:7">
      <c r="A60" s="14" t="s">
        <v>66</v>
      </c>
      <c r="B60" s="14" t="s">
        <v>67</v>
      </c>
      <c r="C60" s="15">
        <v>1</v>
      </c>
      <c r="D60" s="16">
        <v>4529</v>
      </c>
      <c r="E60" s="14"/>
      <c r="F60" s="17" t="s">
        <v>79</v>
      </c>
      <c r="G60" s="18">
        <v>77514</v>
      </c>
    </row>
    <row r="61" spans="1:7">
      <c r="A61" s="14" t="s">
        <v>66</v>
      </c>
      <c r="B61" s="14" t="s">
        <v>67</v>
      </c>
      <c r="C61" s="15">
        <v>1</v>
      </c>
      <c r="D61" s="16">
        <v>6772</v>
      </c>
      <c r="E61" s="14"/>
      <c r="F61" s="17" t="s">
        <v>80</v>
      </c>
      <c r="G61" s="18">
        <v>67317</v>
      </c>
    </row>
    <row r="62" spans="1:7">
      <c r="A62" s="14" t="s">
        <v>66</v>
      </c>
      <c r="B62" s="14" t="s">
        <v>67</v>
      </c>
      <c r="C62" s="15">
        <v>0</v>
      </c>
      <c r="D62" s="16" t="s">
        <v>35</v>
      </c>
      <c r="E62" s="14"/>
      <c r="F62" s="17" t="s">
        <v>35</v>
      </c>
      <c r="G62" s="18">
        <v>40000</v>
      </c>
    </row>
    <row r="63" spans="1:7">
      <c r="A63" s="14" t="s">
        <v>66</v>
      </c>
      <c r="B63" s="14" t="s">
        <v>67</v>
      </c>
      <c r="C63" s="15">
        <v>1</v>
      </c>
      <c r="D63" s="16">
        <v>5777</v>
      </c>
      <c r="E63" s="14"/>
      <c r="F63" s="17" t="s">
        <v>81</v>
      </c>
      <c r="G63" s="18">
        <v>88021</v>
      </c>
    </row>
    <row r="64" spans="1:7">
      <c r="A64" s="14" t="s">
        <v>66</v>
      </c>
      <c r="B64" s="14" t="s">
        <v>67</v>
      </c>
      <c r="C64" s="15">
        <v>1</v>
      </c>
      <c r="D64" s="16">
        <v>5455</v>
      </c>
      <c r="E64" s="14"/>
      <c r="F64" s="17" t="s">
        <v>82</v>
      </c>
      <c r="G64" s="19">
        <v>113211</v>
      </c>
    </row>
    <row r="65" spans="1:8">
      <c r="A65" s="21"/>
      <c r="B65" s="14"/>
      <c r="C65" s="15"/>
      <c r="D65" s="16"/>
      <c r="E65" s="14"/>
      <c r="F65" s="17"/>
      <c r="G65" s="31">
        <f>SUM(G49:G64)</f>
        <v>1427823</v>
      </c>
      <c r="H65" s="3" t="s">
        <v>83</v>
      </c>
    </row>
    <row r="66" spans="1:8">
      <c r="A66" s="14"/>
      <c r="B66" s="14"/>
      <c r="C66" s="15"/>
      <c r="D66" s="16"/>
      <c r="E66" s="14"/>
      <c r="F66" s="17"/>
      <c r="G66" s="18"/>
    </row>
    <row r="67" spans="1:8">
      <c r="A67" s="14"/>
      <c r="B67" s="14"/>
      <c r="C67" s="15"/>
      <c r="D67" s="16"/>
      <c r="E67" s="14"/>
      <c r="F67" s="17"/>
      <c r="G67" s="18"/>
    </row>
    <row r="68" spans="1:8">
      <c r="A68" s="14"/>
      <c r="B68" s="14"/>
      <c r="C68" s="15"/>
      <c r="D68" s="16"/>
      <c r="E68" s="14"/>
      <c r="F68" s="17"/>
      <c r="G68" s="18"/>
    </row>
    <row r="69" spans="1:8">
      <c r="A69" s="14" t="s">
        <v>84</v>
      </c>
      <c r="B69" s="14" t="s">
        <v>85</v>
      </c>
      <c r="C69" s="15">
        <v>1</v>
      </c>
      <c r="D69" s="16">
        <v>5795</v>
      </c>
      <c r="E69" s="14"/>
      <c r="F69" s="17" t="s">
        <v>86</v>
      </c>
      <c r="G69" s="18">
        <v>70650</v>
      </c>
    </row>
    <row r="70" spans="1:8">
      <c r="A70" s="14" t="s">
        <v>84</v>
      </c>
      <c r="B70" s="14" t="s">
        <v>85</v>
      </c>
      <c r="C70" s="15">
        <v>1</v>
      </c>
      <c r="D70" s="16">
        <v>4198</v>
      </c>
      <c r="E70" s="14"/>
      <c r="F70" s="17" t="s">
        <v>87</v>
      </c>
      <c r="G70" s="18">
        <v>71450</v>
      </c>
    </row>
    <row r="71" spans="1:8">
      <c r="A71" s="14" t="s">
        <v>84</v>
      </c>
      <c r="B71" s="14" t="s">
        <v>85</v>
      </c>
      <c r="C71" s="15">
        <v>1</v>
      </c>
      <c r="D71" s="16">
        <v>4461</v>
      </c>
      <c r="E71" s="14"/>
      <c r="F71" s="17" t="s">
        <v>88</v>
      </c>
      <c r="G71" s="18">
        <v>71450</v>
      </c>
    </row>
    <row r="72" spans="1:8">
      <c r="A72" s="14" t="s">
        <v>84</v>
      </c>
      <c r="B72" s="14" t="s">
        <v>85</v>
      </c>
      <c r="C72" s="15">
        <v>1</v>
      </c>
      <c r="D72" s="16">
        <v>5874</v>
      </c>
      <c r="E72" s="14"/>
      <c r="F72" s="17" t="s">
        <v>89</v>
      </c>
      <c r="G72" s="18">
        <v>70650</v>
      </c>
    </row>
    <row r="73" spans="1:8">
      <c r="A73" s="14" t="s">
        <v>84</v>
      </c>
      <c r="B73" s="14" t="s">
        <v>85</v>
      </c>
      <c r="C73" s="15">
        <v>0</v>
      </c>
      <c r="D73" s="16" t="s">
        <v>35</v>
      </c>
      <c r="E73" s="14"/>
      <c r="F73" s="17" t="s">
        <v>35</v>
      </c>
      <c r="G73" s="19">
        <v>4000</v>
      </c>
    </row>
    <row r="74" spans="1:8">
      <c r="A74" s="14"/>
      <c r="B74" s="14"/>
      <c r="C74" s="15"/>
      <c r="D74" s="16"/>
      <c r="E74" s="14"/>
      <c r="F74" s="17"/>
      <c r="G74" s="20">
        <f>SUM(G69:G73)</f>
        <v>288200</v>
      </c>
      <c r="H74" s="3" t="s">
        <v>90</v>
      </c>
    </row>
    <row r="75" spans="1:8">
      <c r="A75" s="14"/>
      <c r="B75" s="14"/>
      <c r="C75" s="15"/>
      <c r="D75" s="16"/>
      <c r="E75" s="14"/>
      <c r="F75" s="17"/>
      <c r="G75" s="18"/>
    </row>
    <row r="76" spans="1:8">
      <c r="A76" s="14"/>
      <c r="B76" s="14"/>
      <c r="C76" s="15"/>
      <c r="D76" s="16"/>
      <c r="E76" s="14"/>
      <c r="F76" s="17"/>
      <c r="G76" s="18"/>
    </row>
    <row r="77" spans="1:8">
      <c r="A77" s="14"/>
      <c r="B77" s="14"/>
      <c r="C77" s="15"/>
      <c r="D77" s="16"/>
      <c r="E77" s="14"/>
      <c r="F77" s="17"/>
      <c r="G77" s="18"/>
    </row>
    <row r="78" spans="1:8">
      <c r="A78" s="14" t="s">
        <v>91</v>
      </c>
      <c r="B78" s="14" t="s">
        <v>92</v>
      </c>
      <c r="C78" s="15">
        <v>0.85</v>
      </c>
      <c r="D78" s="16">
        <v>4082</v>
      </c>
      <c r="E78" s="14"/>
      <c r="F78" s="17" t="s">
        <v>93</v>
      </c>
      <c r="G78" s="18">
        <v>113878</v>
      </c>
    </row>
    <row r="79" spans="1:8">
      <c r="A79" s="14" t="s">
        <v>91</v>
      </c>
      <c r="B79" s="14" t="s">
        <v>92</v>
      </c>
      <c r="C79" s="15">
        <v>1</v>
      </c>
      <c r="D79" s="16">
        <v>6353</v>
      </c>
      <c r="E79" s="14"/>
      <c r="F79" s="17" t="s">
        <v>94</v>
      </c>
      <c r="G79" s="18">
        <v>67003</v>
      </c>
    </row>
    <row r="80" spans="1:8">
      <c r="A80" s="14" t="s">
        <v>91</v>
      </c>
      <c r="B80" s="14" t="s">
        <v>92</v>
      </c>
      <c r="C80" s="15">
        <v>1</v>
      </c>
      <c r="D80" s="16">
        <v>6715</v>
      </c>
      <c r="E80" s="14"/>
      <c r="F80" s="17" t="s">
        <v>95</v>
      </c>
      <c r="G80" s="18">
        <v>98754</v>
      </c>
    </row>
    <row r="81" spans="1:8">
      <c r="A81" s="14" t="s">
        <v>91</v>
      </c>
      <c r="B81" s="14" t="s">
        <v>92</v>
      </c>
      <c r="C81" s="15">
        <v>1</v>
      </c>
      <c r="D81" s="16">
        <v>6734</v>
      </c>
      <c r="E81" s="14"/>
      <c r="F81" s="17" t="s">
        <v>96</v>
      </c>
      <c r="G81" s="18">
        <v>70107</v>
      </c>
    </row>
    <row r="82" spans="1:8">
      <c r="A82" s="14" t="s">
        <v>91</v>
      </c>
      <c r="B82" s="14" t="s">
        <v>92</v>
      </c>
      <c r="C82" s="15">
        <v>1</v>
      </c>
      <c r="D82" s="16">
        <v>6671</v>
      </c>
      <c r="E82" s="14"/>
      <c r="F82" s="17" t="s">
        <v>97</v>
      </c>
      <c r="G82" s="18">
        <v>77848</v>
      </c>
    </row>
    <row r="83" spans="1:8">
      <c r="A83" s="14" t="s">
        <v>91</v>
      </c>
      <c r="B83" s="14" t="s">
        <v>92</v>
      </c>
      <c r="C83" s="15">
        <v>0.5</v>
      </c>
      <c r="D83" s="16">
        <v>4802</v>
      </c>
      <c r="E83" s="14"/>
      <c r="F83" s="17" t="s">
        <v>98</v>
      </c>
      <c r="G83" s="18">
        <f>92974-92974</f>
        <v>0</v>
      </c>
    </row>
    <row r="84" spans="1:8">
      <c r="A84" s="14" t="s">
        <v>91</v>
      </c>
      <c r="B84" s="14" t="s">
        <v>92</v>
      </c>
      <c r="C84" s="15">
        <v>0.85</v>
      </c>
      <c r="D84" s="16" t="s">
        <v>35</v>
      </c>
      <c r="E84" s="14"/>
      <c r="F84" s="23" t="s">
        <v>99</v>
      </c>
      <c r="G84" s="18">
        <v>106250</v>
      </c>
    </row>
    <row r="85" spans="1:8">
      <c r="A85" s="14" t="s">
        <v>91</v>
      </c>
      <c r="B85" s="14" t="s">
        <v>92</v>
      </c>
      <c r="C85" s="15">
        <v>1</v>
      </c>
      <c r="D85" s="16">
        <v>6625</v>
      </c>
      <c r="E85" s="14"/>
      <c r="F85" s="17" t="s">
        <v>100</v>
      </c>
      <c r="G85" s="18">
        <v>65185</v>
      </c>
    </row>
    <row r="86" spans="1:8">
      <c r="A86" s="14" t="s">
        <v>91</v>
      </c>
      <c r="B86" s="14" t="s">
        <v>92</v>
      </c>
      <c r="C86" s="15">
        <v>0.6</v>
      </c>
      <c r="D86" s="16" t="s">
        <v>35</v>
      </c>
      <c r="E86" s="14"/>
      <c r="F86" s="17" t="s">
        <v>101</v>
      </c>
      <c r="G86" s="18">
        <f>90000+18000</f>
        <v>108000</v>
      </c>
    </row>
    <row r="87" spans="1:8">
      <c r="A87" s="14" t="s">
        <v>91</v>
      </c>
      <c r="B87" s="14" t="s">
        <v>92</v>
      </c>
      <c r="C87" s="15">
        <v>0</v>
      </c>
      <c r="D87" s="16" t="s">
        <v>35</v>
      </c>
      <c r="E87" s="14"/>
      <c r="F87" s="17" t="s">
        <v>35</v>
      </c>
      <c r="G87" s="18">
        <v>50000</v>
      </c>
    </row>
    <row r="88" spans="1:8">
      <c r="A88" s="14" t="s">
        <v>91</v>
      </c>
      <c r="B88" s="14" t="s">
        <v>92</v>
      </c>
      <c r="C88" s="15">
        <v>1</v>
      </c>
      <c r="D88" s="16">
        <v>5304</v>
      </c>
      <c r="E88" s="14"/>
      <c r="F88" s="17" t="s">
        <v>102</v>
      </c>
      <c r="G88" s="19">
        <v>113711</v>
      </c>
    </row>
    <row r="89" spans="1:8">
      <c r="A89" s="14"/>
      <c r="B89" s="14"/>
      <c r="C89" s="15"/>
      <c r="D89" s="16"/>
      <c r="E89" s="14"/>
      <c r="F89" s="17"/>
      <c r="G89" s="20">
        <f>SUM(G78:G88)</f>
        <v>870736</v>
      </c>
      <c r="H89" s="3" t="s">
        <v>103</v>
      </c>
    </row>
    <row r="90" spans="1:8">
      <c r="A90" s="14"/>
      <c r="B90" s="14"/>
      <c r="C90" s="15"/>
      <c r="D90" s="16"/>
      <c r="E90" s="14"/>
      <c r="F90" s="17"/>
      <c r="G90" s="18"/>
    </row>
    <row r="91" spans="1:8">
      <c r="A91" s="14"/>
      <c r="B91" s="14"/>
      <c r="C91" s="15"/>
      <c r="D91" s="16"/>
      <c r="E91" s="14"/>
      <c r="F91" s="17"/>
      <c r="G91" s="18"/>
    </row>
    <row r="92" spans="1:8">
      <c r="A92" s="14" t="s">
        <v>104</v>
      </c>
      <c r="B92" s="14" t="s">
        <v>105</v>
      </c>
      <c r="C92" s="15">
        <v>1</v>
      </c>
      <c r="D92" s="16">
        <v>6217</v>
      </c>
      <c r="E92" s="14"/>
      <c r="F92" s="17" t="s">
        <v>106</v>
      </c>
      <c r="G92" s="18">
        <v>74075</v>
      </c>
    </row>
    <row r="93" spans="1:8">
      <c r="A93" s="14" t="s">
        <v>104</v>
      </c>
      <c r="B93" s="14" t="s">
        <v>105</v>
      </c>
      <c r="C93" s="15">
        <v>1</v>
      </c>
      <c r="D93" s="16" t="s">
        <v>35</v>
      </c>
      <c r="E93" s="14"/>
      <c r="F93" s="17" t="s">
        <v>107</v>
      </c>
      <c r="G93" s="18">
        <v>58005</v>
      </c>
    </row>
    <row r="94" spans="1:8">
      <c r="A94" s="14" t="s">
        <v>104</v>
      </c>
      <c r="B94" s="14" t="s">
        <v>105</v>
      </c>
      <c r="C94" s="15">
        <v>1</v>
      </c>
      <c r="D94" s="16">
        <v>6779</v>
      </c>
      <c r="E94" s="14"/>
      <c r="F94" s="17" t="s">
        <v>108</v>
      </c>
      <c r="G94" s="19">
        <v>58055</v>
      </c>
    </row>
    <row r="95" spans="1:8">
      <c r="A95" s="14"/>
      <c r="B95" s="14"/>
      <c r="C95" s="15"/>
      <c r="D95" s="16"/>
      <c r="E95" s="14"/>
      <c r="F95" s="17"/>
      <c r="G95" s="20">
        <f>SUM(G92:G94)</f>
        <v>190135</v>
      </c>
      <c r="H95" s="3" t="s">
        <v>109</v>
      </c>
    </row>
    <row r="96" spans="1:8">
      <c r="A96" s="14"/>
      <c r="B96" s="14"/>
      <c r="C96" s="15"/>
      <c r="D96" s="16"/>
      <c r="E96" s="14"/>
      <c r="F96" s="17"/>
      <c r="G96" s="18"/>
    </row>
    <row r="97" spans="1:8">
      <c r="A97" s="14"/>
      <c r="B97" s="14"/>
      <c r="C97" s="15"/>
      <c r="D97" s="16"/>
      <c r="E97" s="14"/>
      <c r="F97" s="17"/>
      <c r="G97" s="18"/>
    </row>
    <row r="98" spans="1:8">
      <c r="A98" s="14" t="s">
        <v>110</v>
      </c>
      <c r="B98" s="14" t="s">
        <v>111</v>
      </c>
      <c r="C98" s="15">
        <v>0.33</v>
      </c>
      <c r="D98" s="16">
        <v>5287</v>
      </c>
      <c r="E98" s="14"/>
      <c r="F98" s="17" t="s">
        <v>112</v>
      </c>
      <c r="G98" s="18">
        <v>60099</v>
      </c>
    </row>
    <row r="99" spans="1:8">
      <c r="A99" s="14" t="s">
        <v>110</v>
      </c>
      <c r="B99" s="14" t="s">
        <v>111</v>
      </c>
      <c r="C99" s="15">
        <v>0</v>
      </c>
      <c r="D99" s="16" t="s">
        <v>35</v>
      </c>
      <c r="E99" s="14"/>
      <c r="F99" s="17"/>
      <c r="G99" s="19">
        <v>1803</v>
      </c>
    </row>
    <row r="100" spans="1:8">
      <c r="A100" s="14"/>
      <c r="B100" s="14"/>
      <c r="C100" s="15"/>
      <c r="D100" s="16"/>
      <c r="E100" s="14"/>
      <c r="F100" s="17"/>
      <c r="G100" s="20">
        <f>SUM(G98:G99)</f>
        <v>61902</v>
      </c>
      <c r="H100" s="3" t="s">
        <v>113</v>
      </c>
    </row>
    <row r="101" spans="1:8">
      <c r="A101" s="14"/>
      <c r="B101" s="14"/>
      <c r="C101" s="15"/>
      <c r="D101" s="16"/>
      <c r="E101" s="14"/>
      <c r="F101" s="17"/>
      <c r="G101" s="18"/>
    </row>
    <row r="102" spans="1:8">
      <c r="A102" s="14"/>
      <c r="B102" s="14"/>
      <c r="C102" s="15"/>
      <c r="D102" s="16"/>
      <c r="E102" s="14"/>
      <c r="F102" s="17"/>
      <c r="G102" s="18"/>
    </row>
    <row r="103" spans="1:8">
      <c r="A103" s="14" t="s">
        <v>114</v>
      </c>
      <c r="B103" s="14" t="s">
        <v>115</v>
      </c>
      <c r="C103" s="15">
        <v>0.5</v>
      </c>
      <c r="D103" s="16">
        <v>6791</v>
      </c>
      <c r="E103" s="14"/>
      <c r="F103" s="17" t="s">
        <v>116</v>
      </c>
      <c r="G103" s="18">
        <v>37038</v>
      </c>
    </row>
    <row r="104" spans="1:8">
      <c r="A104" s="14" t="s">
        <v>114</v>
      </c>
      <c r="B104" s="14" t="s">
        <v>115</v>
      </c>
      <c r="C104" s="15">
        <v>0</v>
      </c>
      <c r="D104" s="16" t="s">
        <v>35</v>
      </c>
      <c r="E104" s="14"/>
      <c r="F104" s="17"/>
      <c r="G104" s="19">
        <v>0</v>
      </c>
    </row>
    <row r="105" spans="1:8">
      <c r="A105" s="14"/>
      <c r="B105" s="14"/>
      <c r="C105" s="15"/>
      <c r="D105" s="16"/>
      <c r="E105" s="14"/>
      <c r="F105" s="17"/>
      <c r="G105" s="20">
        <f>SUM(G103:G104)</f>
        <v>37038</v>
      </c>
      <c r="H105" s="3" t="s">
        <v>117</v>
      </c>
    </row>
    <row r="106" spans="1:8">
      <c r="A106" s="14"/>
      <c r="B106" s="14"/>
      <c r="C106" s="15"/>
      <c r="D106" s="16"/>
      <c r="E106" s="14"/>
      <c r="F106" s="17"/>
      <c r="G106" s="20"/>
    </row>
    <row r="107" spans="1:8">
      <c r="A107" s="14"/>
      <c r="B107" s="14"/>
      <c r="C107" s="15"/>
      <c r="D107" s="16"/>
      <c r="E107" s="14"/>
      <c r="F107" s="17"/>
      <c r="G107" s="20"/>
    </row>
    <row r="108" spans="1:8">
      <c r="A108" s="14" t="s">
        <v>118</v>
      </c>
      <c r="B108" s="14" t="s">
        <v>119</v>
      </c>
      <c r="C108" s="15">
        <v>0</v>
      </c>
      <c r="D108" s="17" t="s">
        <v>35</v>
      </c>
      <c r="E108" s="14"/>
      <c r="F108" s="32"/>
      <c r="G108" s="20">
        <v>80000</v>
      </c>
      <c r="H108" s="3" t="s">
        <v>120</v>
      </c>
    </row>
    <row r="109" spans="1:8">
      <c r="A109" s="14"/>
      <c r="B109" s="14"/>
      <c r="C109" s="15"/>
      <c r="D109" s="16"/>
      <c r="E109" s="14"/>
      <c r="F109" s="17"/>
      <c r="G109" s="18"/>
    </row>
    <row r="110" spans="1:8">
      <c r="A110" s="14"/>
      <c r="B110" s="14"/>
      <c r="C110" s="15"/>
      <c r="D110" s="16"/>
      <c r="E110" s="14"/>
      <c r="F110" s="17"/>
      <c r="G110" s="18"/>
    </row>
    <row r="111" spans="1:8">
      <c r="A111" s="14" t="s">
        <v>121</v>
      </c>
      <c r="B111" s="14" t="s">
        <v>122</v>
      </c>
      <c r="C111" s="15">
        <v>1</v>
      </c>
      <c r="D111" s="16">
        <v>4402</v>
      </c>
      <c r="E111" s="14"/>
      <c r="F111" s="17" t="s">
        <v>123</v>
      </c>
      <c r="G111" s="18">
        <v>112711</v>
      </c>
    </row>
    <row r="112" spans="1:8">
      <c r="A112" s="14" t="s">
        <v>121</v>
      </c>
      <c r="B112" s="14" t="s">
        <v>122</v>
      </c>
      <c r="C112" s="15">
        <v>1</v>
      </c>
      <c r="D112" s="16">
        <v>6333</v>
      </c>
      <c r="E112" s="14"/>
      <c r="F112" s="17" t="s">
        <v>124</v>
      </c>
      <c r="G112" s="18">
        <v>70193</v>
      </c>
    </row>
    <row r="113" spans="1:8">
      <c r="A113" s="14" t="s">
        <v>121</v>
      </c>
      <c r="B113" s="14" t="s">
        <v>122</v>
      </c>
      <c r="C113" s="15">
        <v>0</v>
      </c>
      <c r="D113" s="16" t="s">
        <v>35</v>
      </c>
      <c r="E113" s="14"/>
      <c r="F113" s="17"/>
      <c r="G113" s="19">
        <v>3500</v>
      </c>
    </row>
    <row r="114" spans="1:8">
      <c r="A114" s="14"/>
      <c r="B114" s="14"/>
      <c r="C114" s="15"/>
      <c r="D114" s="16"/>
      <c r="E114" s="14"/>
      <c r="F114" s="17"/>
      <c r="G114" s="20">
        <f>SUM(G111:G113)</f>
        <v>186404</v>
      </c>
    </row>
    <row r="115" spans="1:8">
      <c r="A115" s="14"/>
      <c r="B115" s="14"/>
      <c r="C115" s="15"/>
      <c r="D115" s="16"/>
      <c r="E115" s="14"/>
      <c r="F115" s="17"/>
      <c r="G115" s="18"/>
    </row>
    <row r="116" spans="1:8">
      <c r="A116" s="14"/>
      <c r="B116" s="14"/>
      <c r="C116" s="15"/>
      <c r="D116" s="16"/>
      <c r="E116" s="14"/>
      <c r="F116" s="17"/>
      <c r="G116" s="18"/>
    </row>
    <row r="117" spans="1:8">
      <c r="A117" s="14" t="s">
        <v>125</v>
      </c>
      <c r="B117" s="14" t="s">
        <v>126</v>
      </c>
      <c r="C117" s="15">
        <v>1</v>
      </c>
      <c r="D117" s="16">
        <v>6598</v>
      </c>
      <c r="E117" s="14"/>
      <c r="F117" s="17" t="s">
        <v>127</v>
      </c>
      <c r="G117" s="18">
        <v>41184</v>
      </c>
    </row>
    <row r="118" spans="1:8">
      <c r="A118" s="14" t="s">
        <v>125</v>
      </c>
      <c r="B118" s="14" t="s">
        <v>126</v>
      </c>
      <c r="C118" s="15">
        <v>1</v>
      </c>
      <c r="D118" s="16">
        <v>5086</v>
      </c>
      <c r="E118" s="14"/>
      <c r="F118" s="17" t="s">
        <v>128</v>
      </c>
      <c r="G118" s="18">
        <v>67880</v>
      </c>
    </row>
    <row r="119" spans="1:8">
      <c r="A119" s="14" t="s">
        <v>125</v>
      </c>
      <c r="B119" s="14" t="s">
        <v>126</v>
      </c>
      <c r="C119" s="15">
        <v>0</v>
      </c>
      <c r="D119" s="16" t="s">
        <v>35</v>
      </c>
      <c r="E119" s="14"/>
      <c r="F119" s="17"/>
      <c r="G119" s="18">
        <v>2500</v>
      </c>
    </row>
    <row r="120" spans="1:8">
      <c r="A120" s="14" t="s">
        <v>125</v>
      </c>
      <c r="B120" s="14" t="s">
        <v>126</v>
      </c>
      <c r="C120" s="15">
        <v>1</v>
      </c>
      <c r="D120" s="16">
        <v>6030</v>
      </c>
      <c r="E120" s="14"/>
      <c r="F120" s="17" t="s">
        <v>129</v>
      </c>
      <c r="G120" s="19">
        <v>59005</v>
      </c>
    </row>
    <row r="121" spans="1:8">
      <c r="A121" s="14"/>
      <c r="B121" s="14"/>
      <c r="C121" s="15"/>
      <c r="D121" s="16"/>
      <c r="E121" s="14"/>
      <c r="F121" s="17"/>
      <c r="G121" s="20">
        <f>SUM(G117:G120)</f>
        <v>170569</v>
      </c>
    </row>
    <row r="122" spans="1:8">
      <c r="A122" s="14"/>
      <c r="B122" s="14"/>
      <c r="C122" s="15"/>
      <c r="D122" s="16"/>
      <c r="E122" s="14"/>
      <c r="F122" s="17"/>
      <c r="G122" s="20"/>
    </row>
    <row r="123" spans="1:8">
      <c r="A123" s="21"/>
      <c r="B123" s="5"/>
      <c r="C123" s="30"/>
      <c r="D123" s="7"/>
      <c r="E123" s="5"/>
      <c r="F123" s="8"/>
      <c r="G123" s="20">
        <f>G121+G114</f>
        <v>356973</v>
      </c>
      <c r="H123" s="1" t="s">
        <v>130</v>
      </c>
    </row>
    <row r="124" spans="1:8">
      <c r="A124" s="14"/>
      <c r="B124" s="14"/>
      <c r="C124" s="15"/>
      <c r="D124" s="16"/>
      <c r="E124" s="14"/>
      <c r="F124" s="17"/>
      <c r="G124" s="18"/>
    </row>
    <row r="125" spans="1:8">
      <c r="A125" s="14" t="s">
        <v>131</v>
      </c>
      <c r="B125" s="14" t="s">
        <v>132</v>
      </c>
      <c r="C125" s="15">
        <v>1</v>
      </c>
      <c r="D125" s="16">
        <v>4936</v>
      </c>
      <c r="E125" s="14"/>
      <c r="F125" s="17" t="s">
        <v>133</v>
      </c>
      <c r="G125" s="18">
        <v>85156</v>
      </c>
    </row>
    <row r="126" spans="1:8">
      <c r="A126" s="14" t="s">
        <v>131</v>
      </c>
      <c r="B126" s="14" t="s">
        <v>132</v>
      </c>
      <c r="C126" s="15">
        <v>1</v>
      </c>
      <c r="D126" s="16">
        <v>4071</v>
      </c>
      <c r="E126" s="14"/>
      <c r="F126" s="17" t="s">
        <v>134</v>
      </c>
      <c r="G126" s="18">
        <v>90195</v>
      </c>
    </row>
    <row r="127" spans="1:8">
      <c r="A127" s="14" t="s">
        <v>131</v>
      </c>
      <c r="B127" s="14" t="s">
        <v>132</v>
      </c>
      <c r="C127" s="15"/>
      <c r="D127" s="16" t="s">
        <v>35</v>
      </c>
      <c r="E127" s="14"/>
      <c r="F127" s="17"/>
      <c r="G127" s="19">
        <v>5275</v>
      </c>
    </row>
    <row r="128" spans="1:8">
      <c r="A128" s="14"/>
      <c r="B128" s="14"/>
      <c r="C128" s="15"/>
      <c r="D128" s="16"/>
      <c r="E128" s="14"/>
      <c r="F128" s="17"/>
      <c r="G128" s="20">
        <f>SUM(G125:G127)</f>
        <v>180626</v>
      </c>
      <c r="H128" s="3" t="s">
        <v>135</v>
      </c>
    </row>
    <row r="129" spans="1:7">
      <c r="A129" s="14"/>
      <c r="B129" s="14"/>
      <c r="C129" s="15"/>
      <c r="D129" s="16"/>
      <c r="E129" s="14"/>
      <c r="F129" s="17"/>
      <c r="G129" s="20"/>
    </row>
    <row r="130" spans="1:7">
      <c r="A130" s="14"/>
      <c r="B130" s="14"/>
      <c r="C130" s="15"/>
      <c r="D130" s="16"/>
      <c r="E130" s="14"/>
      <c r="F130" s="17"/>
      <c r="G130" s="18"/>
    </row>
    <row r="131" spans="1:7">
      <c r="A131" s="14"/>
      <c r="B131" s="14"/>
      <c r="C131" s="15"/>
      <c r="D131" s="16"/>
      <c r="E131" s="14"/>
      <c r="F131" s="17"/>
      <c r="G131" s="18"/>
    </row>
    <row r="132" spans="1:7">
      <c r="A132" s="14" t="s">
        <v>136</v>
      </c>
      <c r="B132" s="14" t="s">
        <v>137</v>
      </c>
      <c r="C132" s="15">
        <v>0.45</v>
      </c>
      <c r="D132" s="16">
        <v>4094</v>
      </c>
      <c r="E132" s="14"/>
      <c r="F132" s="17" t="s">
        <v>138</v>
      </c>
      <c r="G132" s="18">
        <v>66074</v>
      </c>
    </row>
    <row r="133" spans="1:7">
      <c r="A133" s="14" t="s">
        <v>136</v>
      </c>
      <c r="B133" s="14" t="s">
        <v>137</v>
      </c>
      <c r="C133" s="15">
        <v>0.45</v>
      </c>
      <c r="D133" s="16">
        <v>5910</v>
      </c>
      <c r="E133" s="14"/>
      <c r="F133" s="17" t="s">
        <v>139</v>
      </c>
      <c r="G133" s="18">
        <v>63104</v>
      </c>
    </row>
    <row r="134" spans="1:7">
      <c r="A134" s="14" t="s">
        <v>136</v>
      </c>
      <c r="B134" s="14" t="s">
        <v>137</v>
      </c>
      <c r="C134" s="15">
        <v>0.45</v>
      </c>
      <c r="D134" s="16">
        <v>4285</v>
      </c>
      <c r="E134" s="14"/>
      <c r="F134" s="17" t="s">
        <v>140</v>
      </c>
      <c r="G134" s="18">
        <v>66075</v>
      </c>
    </row>
    <row r="135" spans="1:7">
      <c r="A135" s="14" t="s">
        <v>136</v>
      </c>
      <c r="B135" s="14" t="s">
        <v>137</v>
      </c>
      <c r="C135" s="15">
        <v>0.45</v>
      </c>
      <c r="D135" s="16">
        <v>4304</v>
      </c>
      <c r="E135" s="14"/>
      <c r="F135" s="17" t="s">
        <v>141</v>
      </c>
      <c r="G135" s="18">
        <v>66311</v>
      </c>
    </row>
    <row r="136" spans="1:7">
      <c r="A136" s="14" t="s">
        <v>136</v>
      </c>
      <c r="B136" s="14" t="s">
        <v>137</v>
      </c>
      <c r="C136" s="15">
        <v>0.45</v>
      </c>
      <c r="D136" s="16">
        <v>6146</v>
      </c>
      <c r="E136" s="14"/>
      <c r="F136" s="17" t="s">
        <v>142</v>
      </c>
      <c r="G136" s="18">
        <v>63104</v>
      </c>
    </row>
    <row r="137" spans="1:7">
      <c r="A137" s="14" t="s">
        <v>136</v>
      </c>
      <c r="B137" s="14" t="s">
        <v>137</v>
      </c>
      <c r="C137" s="15">
        <v>0.45</v>
      </c>
      <c r="D137" s="16">
        <v>4516</v>
      </c>
      <c r="E137" s="14"/>
      <c r="F137" s="17" t="s">
        <v>143</v>
      </c>
      <c r="G137" s="18">
        <v>63791</v>
      </c>
    </row>
    <row r="138" spans="1:7">
      <c r="A138" s="14" t="s">
        <v>136</v>
      </c>
      <c r="B138" s="14" t="s">
        <v>137</v>
      </c>
      <c r="C138" s="15">
        <v>0.45</v>
      </c>
      <c r="D138" s="16">
        <v>4797</v>
      </c>
      <c r="E138" s="14"/>
      <c r="F138" s="17" t="s">
        <v>144</v>
      </c>
      <c r="G138" s="18">
        <v>66311</v>
      </c>
    </row>
    <row r="139" spans="1:7">
      <c r="A139" s="14" t="s">
        <v>136</v>
      </c>
      <c r="B139" s="14" t="s">
        <v>137</v>
      </c>
      <c r="C139" s="15">
        <v>0.45</v>
      </c>
      <c r="D139" s="16">
        <v>4814</v>
      </c>
      <c r="E139" s="14"/>
      <c r="F139" s="17" t="s">
        <v>145</v>
      </c>
      <c r="G139" s="18">
        <v>63471</v>
      </c>
    </row>
    <row r="140" spans="1:7">
      <c r="A140" s="14" t="s">
        <v>136</v>
      </c>
      <c r="B140" s="14" t="s">
        <v>137</v>
      </c>
      <c r="C140" s="15">
        <v>0.45</v>
      </c>
      <c r="D140" s="16">
        <v>4838</v>
      </c>
      <c r="E140" s="14"/>
      <c r="F140" s="17" t="s">
        <v>146</v>
      </c>
      <c r="G140" s="18">
        <v>65838</v>
      </c>
    </row>
    <row r="141" spans="1:7">
      <c r="A141" s="14" t="s">
        <v>136</v>
      </c>
      <c r="B141" s="14" t="s">
        <v>137</v>
      </c>
      <c r="C141" s="15">
        <v>0</v>
      </c>
      <c r="D141" s="16" t="s">
        <v>35</v>
      </c>
      <c r="E141" s="14"/>
      <c r="F141" s="17"/>
      <c r="G141" s="18">
        <v>20000</v>
      </c>
    </row>
    <row r="142" spans="1:7">
      <c r="A142" s="14" t="s">
        <v>136</v>
      </c>
      <c r="B142" s="14" t="s">
        <v>137</v>
      </c>
      <c r="C142" s="15">
        <v>0.33</v>
      </c>
      <c r="D142" s="16">
        <v>5287</v>
      </c>
      <c r="E142" s="14"/>
      <c r="F142" s="17" t="s">
        <v>112</v>
      </c>
      <c r="G142" s="18">
        <v>61901</v>
      </c>
    </row>
    <row r="143" spans="1:7">
      <c r="A143" s="14" t="s">
        <v>136</v>
      </c>
      <c r="B143" s="14" t="s">
        <v>137</v>
      </c>
      <c r="C143" s="15">
        <v>0.45</v>
      </c>
      <c r="D143" s="16">
        <v>5312</v>
      </c>
      <c r="E143" s="14"/>
      <c r="F143" s="17" t="s">
        <v>147</v>
      </c>
      <c r="G143" s="18">
        <v>65838</v>
      </c>
    </row>
    <row r="144" spans="1:7">
      <c r="A144" s="14" t="s">
        <v>136</v>
      </c>
      <c r="B144" s="14" t="s">
        <v>137</v>
      </c>
      <c r="C144" s="15">
        <v>0.45</v>
      </c>
      <c r="D144" s="16">
        <v>5978</v>
      </c>
      <c r="E144" s="14"/>
      <c r="F144" s="17" t="s">
        <v>148</v>
      </c>
      <c r="G144" s="19">
        <v>52150</v>
      </c>
    </row>
    <row r="145" spans="1:8">
      <c r="A145" s="14"/>
      <c r="B145" s="14"/>
      <c r="C145" s="15"/>
      <c r="D145" s="16"/>
      <c r="E145" s="14"/>
      <c r="F145" s="17"/>
      <c r="G145" s="20">
        <f>SUM(G132:G144)</f>
        <v>783968</v>
      </c>
      <c r="H145" s="3" t="s">
        <v>149</v>
      </c>
    </row>
    <row r="146" spans="1:8">
      <c r="A146" s="14"/>
      <c r="B146" s="14"/>
      <c r="C146" s="15"/>
      <c r="D146" s="16"/>
      <c r="E146" s="14"/>
      <c r="F146" s="17"/>
      <c r="G146" s="18"/>
    </row>
    <row r="147" spans="1:8">
      <c r="A147" s="14"/>
      <c r="B147" s="14"/>
      <c r="C147" s="15"/>
      <c r="D147" s="16"/>
      <c r="E147" s="14"/>
      <c r="F147" s="17"/>
      <c r="G147" s="18"/>
    </row>
    <row r="148" spans="1:8">
      <c r="A148" s="14" t="s">
        <v>150</v>
      </c>
      <c r="B148" s="14" t="s">
        <v>151</v>
      </c>
      <c r="C148" s="15">
        <v>0.5</v>
      </c>
      <c r="D148" s="16">
        <v>6791</v>
      </c>
      <c r="E148" s="14"/>
      <c r="F148" s="17" t="s">
        <v>116</v>
      </c>
      <c r="G148" s="18">
        <v>37037</v>
      </c>
    </row>
    <row r="149" spans="1:8">
      <c r="A149" s="14" t="s">
        <v>150</v>
      </c>
      <c r="B149" s="14" t="s">
        <v>151</v>
      </c>
      <c r="C149" s="15">
        <v>1</v>
      </c>
      <c r="D149" s="16">
        <v>6273</v>
      </c>
      <c r="E149" s="14"/>
      <c r="F149" s="17" t="s">
        <v>152</v>
      </c>
      <c r="G149" s="18">
        <v>71791</v>
      </c>
    </row>
    <row r="150" spans="1:8">
      <c r="A150" s="14" t="s">
        <v>150</v>
      </c>
      <c r="B150" s="14" t="s">
        <v>151</v>
      </c>
      <c r="C150" s="15">
        <v>0</v>
      </c>
      <c r="D150" s="16" t="s">
        <v>35</v>
      </c>
      <c r="E150" s="14"/>
      <c r="F150" s="17"/>
      <c r="G150" s="19">
        <v>2150</v>
      </c>
    </row>
    <row r="151" spans="1:8">
      <c r="A151" s="14"/>
      <c r="B151" s="14"/>
      <c r="C151" s="15"/>
      <c r="D151" s="16"/>
      <c r="E151" s="14"/>
      <c r="F151" s="17"/>
      <c r="G151" s="20">
        <f>SUM(G148:G150)</f>
        <v>110978</v>
      </c>
      <c r="H151" s="3" t="s">
        <v>153</v>
      </c>
    </row>
    <row r="152" spans="1:8">
      <c r="A152" s="14"/>
      <c r="B152" s="14"/>
      <c r="C152" s="15"/>
      <c r="D152" s="16"/>
      <c r="E152" s="14"/>
      <c r="F152" s="17"/>
      <c r="G152" s="18"/>
    </row>
    <row r="153" spans="1:8">
      <c r="A153" s="14"/>
      <c r="B153" s="14"/>
      <c r="C153" s="15"/>
      <c r="D153" s="16"/>
      <c r="E153" s="14"/>
      <c r="F153" s="17"/>
      <c r="G153" s="18"/>
    </row>
    <row r="154" spans="1:8">
      <c r="A154" s="14" t="s">
        <v>154</v>
      </c>
      <c r="B154" s="14" t="s">
        <v>155</v>
      </c>
      <c r="C154" s="15">
        <v>1</v>
      </c>
      <c r="D154" s="16">
        <v>6485</v>
      </c>
      <c r="E154" s="14"/>
      <c r="F154" s="17" t="s">
        <v>156</v>
      </c>
      <c r="G154" s="18">
        <v>102323</v>
      </c>
    </row>
    <row r="155" spans="1:8">
      <c r="A155" s="14" t="s">
        <v>154</v>
      </c>
      <c r="B155" s="14" t="s">
        <v>155</v>
      </c>
      <c r="C155" s="15">
        <v>0</v>
      </c>
      <c r="D155" s="16" t="s">
        <v>35</v>
      </c>
      <c r="E155" s="14"/>
      <c r="F155" s="17"/>
      <c r="G155" s="19">
        <v>3075</v>
      </c>
    </row>
    <row r="156" spans="1:8">
      <c r="A156" s="14"/>
      <c r="B156" s="14"/>
      <c r="C156" s="15"/>
      <c r="D156" s="16"/>
      <c r="E156" s="14"/>
      <c r="F156" s="17"/>
      <c r="G156" s="20">
        <f>SUM(G154:G155)</f>
        <v>105398</v>
      </c>
    </row>
    <row r="157" spans="1:8">
      <c r="A157" s="14"/>
      <c r="B157" s="14"/>
      <c r="C157" s="15"/>
      <c r="D157" s="16"/>
      <c r="E157" s="14"/>
      <c r="F157" s="17"/>
      <c r="G157" s="20"/>
    </row>
    <row r="158" spans="1:8">
      <c r="A158" s="14" t="s">
        <v>157</v>
      </c>
      <c r="B158" s="14" t="s">
        <v>158</v>
      </c>
      <c r="C158" s="15">
        <v>0</v>
      </c>
      <c r="D158" s="17" t="s">
        <v>35</v>
      </c>
      <c r="E158" s="14"/>
      <c r="F158" s="32"/>
      <c r="G158" s="20">
        <v>30000</v>
      </c>
    </row>
    <row r="159" spans="1:8">
      <c r="A159" s="14"/>
      <c r="B159" s="14"/>
      <c r="C159" s="15"/>
      <c r="D159" s="16"/>
      <c r="E159" s="14"/>
      <c r="F159" s="17"/>
      <c r="G159" s="20"/>
    </row>
    <row r="160" spans="1:8">
      <c r="A160" s="14"/>
      <c r="B160" s="14"/>
      <c r="C160" s="15"/>
      <c r="D160" s="16"/>
      <c r="E160" s="14"/>
      <c r="F160" s="17"/>
      <c r="G160" s="20"/>
    </row>
    <row r="161" spans="1:8">
      <c r="A161" s="21" t="s">
        <v>159</v>
      </c>
      <c r="B161" s="5"/>
      <c r="C161" s="30"/>
      <c r="D161" s="7"/>
      <c r="E161" s="5"/>
      <c r="F161" s="8" t="s">
        <v>159</v>
      </c>
      <c r="G161" s="20">
        <f>G156+G158</f>
        <v>135398</v>
      </c>
      <c r="H161" s="1" t="s">
        <v>160</v>
      </c>
    </row>
    <row r="162" spans="1:8">
      <c r="A162" s="14"/>
      <c r="B162" s="14"/>
      <c r="C162" s="15"/>
      <c r="D162" s="16"/>
      <c r="E162" s="14"/>
      <c r="F162" s="17"/>
      <c r="G162" s="18"/>
    </row>
    <row r="163" spans="1:8">
      <c r="A163" s="14" t="s">
        <v>161</v>
      </c>
      <c r="B163" s="14"/>
      <c r="C163" s="15"/>
      <c r="D163" s="16"/>
      <c r="E163" s="14"/>
      <c r="F163" s="17"/>
      <c r="G163" s="18"/>
    </row>
    <row r="164" spans="1:8">
      <c r="A164" s="14" t="s">
        <v>162</v>
      </c>
      <c r="B164" s="14" t="s">
        <v>163</v>
      </c>
      <c r="C164" s="15">
        <v>1</v>
      </c>
      <c r="D164" s="16">
        <v>6954</v>
      </c>
      <c r="E164" s="14"/>
      <c r="F164" s="17" t="s">
        <v>164</v>
      </c>
      <c r="G164" s="20">
        <v>256250</v>
      </c>
    </row>
    <row r="165" spans="1:8">
      <c r="A165" s="14"/>
      <c r="B165" s="14"/>
      <c r="C165" s="15"/>
      <c r="D165" s="16"/>
      <c r="E165" s="14"/>
      <c r="F165" s="17"/>
      <c r="G165" s="18"/>
    </row>
    <row r="166" spans="1:8">
      <c r="A166" s="14"/>
      <c r="B166" s="14"/>
      <c r="C166" s="15"/>
      <c r="D166" s="16"/>
      <c r="E166" s="14"/>
      <c r="F166" s="17"/>
      <c r="G166" s="18"/>
    </row>
    <row r="167" spans="1:8">
      <c r="A167" s="14" t="s">
        <v>165</v>
      </c>
      <c r="B167" s="14" t="s">
        <v>166</v>
      </c>
      <c r="C167" s="15">
        <v>1</v>
      </c>
      <c r="D167" s="16">
        <v>4013</v>
      </c>
      <c r="E167" s="14"/>
      <c r="F167" s="17" t="s">
        <v>167</v>
      </c>
      <c r="G167" s="20">
        <v>5877</v>
      </c>
    </row>
    <row r="168" spans="1:8">
      <c r="A168" s="14"/>
      <c r="B168" s="14"/>
      <c r="C168" s="15"/>
      <c r="D168" s="16"/>
      <c r="E168" s="14"/>
      <c r="F168" s="17"/>
      <c r="G168" s="18"/>
    </row>
    <row r="169" spans="1:8">
      <c r="A169" s="14"/>
      <c r="B169" s="14"/>
      <c r="C169" s="15"/>
      <c r="D169" s="16"/>
      <c r="E169" s="14"/>
      <c r="F169" s="17"/>
      <c r="G169" s="18"/>
    </row>
    <row r="170" spans="1:8">
      <c r="A170" s="14" t="s">
        <v>168</v>
      </c>
      <c r="B170" s="14" t="s">
        <v>169</v>
      </c>
      <c r="C170" s="15">
        <v>1</v>
      </c>
      <c r="D170" s="16">
        <v>6753</v>
      </c>
      <c r="E170" s="14"/>
      <c r="F170" s="17" t="s">
        <v>170</v>
      </c>
      <c r="G170" s="20">
        <v>87050</v>
      </c>
    </row>
    <row r="171" spans="1:8">
      <c r="A171" s="14"/>
      <c r="B171" s="14"/>
      <c r="C171" s="15"/>
      <c r="D171" s="16"/>
      <c r="E171" s="14"/>
      <c r="F171" s="17"/>
      <c r="G171" s="18"/>
    </row>
    <row r="172" spans="1:8">
      <c r="A172" s="14"/>
      <c r="B172" s="14"/>
      <c r="C172" s="15"/>
      <c r="D172" s="16"/>
      <c r="E172" s="14"/>
      <c r="F172" s="17"/>
      <c r="G172" s="18"/>
    </row>
    <row r="173" spans="1:8">
      <c r="A173" s="21" t="s">
        <v>171</v>
      </c>
      <c r="B173" s="5"/>
      <c r="C173" s="30"/>
      <c r="D173" s="7"/>
      <c r="E173" s="5"/>
      <c r="F173" s="8" t="s">
        <v>171</v>
      </c>
      <c r="G173" s="20">
        <f>G170+G167+G164</f>
        <v>349177</v>
      </c>
      <c r="H173" s="1" t="s">
        <v>172</v>
      </c>
    </row>
    <row r="174" spans="1:8">
      <c r="A174" s="14"/>
      <c r="B174" s="14"/>
      <c r="C174" s="15"/>
      <c r="D174" s="16"/>
      <c r="E174" s="14"/>
      <c r="F174" s="17"/>
      <c r="G174" s="18"/>
    </row>
    <row r="175" spans="1:8">
      <c r="A175" s="14" t="s">
        <v>173</v>
      </c>
      <c r="B175" s="14" t="s">
        <v>174</v>
      </c>
      <c r="C175" s="15">
        <v>0.15</v>
      </c>
      <c r="D175" s="16">
        <v>6528</v>
      </c>
      <c r="E175" s="14"/>
      <c r="F175" s="17" t="s">
        <v>175</v>
      </c>
      <c r="G175" s="18">
        <v>14935</v>
      </c>
    </row>
    <row r="176" spans="1:8">
      <c r="A176" s="14" t="s">
        <v>173</v>
      </c>
      <c r="B176" s="14" t="s">
        <v>174</v>
      </c>
      <c r="C176" s="15">
        <v>0.15</v>
      </c>
      <c r="D176" s="16">
        <v>5759</v>
      </c>
      <c r="E176" s="14"/>
      <c r="F176" s="17" t="s">
        <v>176</v>
      </c>
      <c r="G176" s="18">
        <v>16859</v>
      </c>
    </row>
    <row r="177" spans="1:7">
      <c r="A177" s="14" t="s">
        <v>173</v>
      </c>
      <c r="B177" s="14" t="s">
        <v>174</v>
      </c>
      <c r="C177" s="15">
        <v>0.15</v>
      </c>
      <c r="D177" s="16">
        <v>6959</v>
      </c>
      <c r="E177" s="14"/>
      <c r="F177" s="17" t="s">
        <v>93</v>
      </c>
      <c r="G177" s="18">
        <v>20096</v>
      </c>
    </row>
    <row r="178" spans="1:7">
      <c r="A178" s="14" t="s">
        <v>173</v>
      </c>
      <c r="B178" s="14" t="s">
        <v>174</v>
      </c>
      <c r="C178" s="15">
        <v>0.15</v>
      </c>
      <c r="D178" s="16">
        <v>4094</v>
      </c>
      <c r="E178" s="14"/>
      <c r="F178" s="17" t="s">
        <v>138</v>
      </c>
      <c r="G178" s="18">
        <v>22025</v>
      </c>
    </row>
    <row r="179" spans="1:7">
      <c r="A179" s="14" t="s">
        <v>173</v>
      </c>
      <c r="B179" s="14" t="s">
        <v>174</v>
      </c>
      <c r="C179" s="15">
        <v>0.15</v>
      </c>
      <c r="D179" s="16">
        <v>5910</v>
      </c>
      <c r="E179" s="14"/>
      <c r="F179" s="17" t="s">
        <v>139</v>
      </c>
      <c r="G179" s="18">
        <v>21035</v>
      </c>
    </row>
    <row r="180" spans="1:7">
      <c r="A180" s="14" t="s">
        <v>173</v>
      </c>
      <c r="B180" s="14" t="s">
        <v>174</v>
      </c>
      <c r="C180" s="15">
        <v>1</v>
      </c>
      <c r="D180" s="16">
        <v>5468</v>
      </c>
      <c r="E180" s="14"/>
      <c r="F180" s="17" t="s">
        <v>177</v>
      </c>
      <c r="G180" s="18">
        <v>126775</v>
      </c>
    </row>
    <row r="181" spans="1:7">
      <c r="A181" s="14" t="s">
        <v>173</v>
      </c>
      <c r="B181" s="14" t="s">
        <v>174</v>
      </c>
      <c r="C181" s="15">
        <v>1</v>
      </c>
      <c r="D181" s="16">
        <v>6054</v>
      </c>
      <c r="E181" s="14"/>
      <c r="F181" s="17" t="s">
        <v>178</v>
      </c>
      <c r="G181" s="18">
        <v>151000</v>
      </c>
    </row>
    <row r="182" spans="1:7">
      <c r="A182" s="14" t="s">
        <v>173</v>
      </c>
      <c r="B182" s="14" t="s">
        <v>174</v>
      </c>
      <c r="C182" s="15">
        <v>0.15</v>
      </c>
      <c r="D182" s="16">
        <v>4285</v>
      </c>
      <c r="E182" s="14"/>
      <c r="F182" s="17" t="s">
        <v>140</v>
      </c>
      <c r="G182" s="18">
        <v>22025</v>
      </c>
    </row>
    <row r="183" spans="1:7">
      <c r="A183" s="14" t="s">
        <v>173</v>
      </c>
      <c r="B183" s="14" t="s">
        <v>174</v>
      </c>
      <c r="C183" s="15">
        <v>0.15</v>
      </c>
      <c r="D183" s="16">
        <v>4304</v>
      </c>
      <c r="E183" s="14"/>
      <c r="F183" s="17" t="s">
        <v>141</v>
      </c>
      <c r="G183" s="18">
        <v>22104</v>
      </c>
    </row>
    <row r="184" spans="1:7">
      <c r="A184" s="14" t="s">
        <v>173</v>
      </c>
      <c r="B184" s="14" t="s">
        <v>174</v>
      </c>
      <c r="C184" s="15">
        <v>1</v>
      </c>
      <c r="D184" s="16">
        <v>6255</v>
      </c>
      <c r="E184" s="14"/>
      <c r="F184" s="17" t="s">
        <v>179</v>
      </c>
      <c r="G184" s="18">
        <v>150263</v>
      </c>
    </row>
    <row r="185" spans="1:7">
      <c r="A185" s="14" t="s">
        <v>173</v>
      </c>
      <c r="B185" s="14" t="s">
        <v>174</v>
      </c>
      <c r="C185" s="15">
        <v>0.15</v>
      </c>
      <c r="D185" s="16">
        <v>6146</v>
      </c>
      <c r="E185" s="14"/>
      <c r="F185" s="17" t="s">
        <v>142</v>
      </c>
      <c r="G185" s="18">
        <v>21035</v>
      </c>
    </row>
    <row r="186" spans="1:7">
      <c r="A186" s="14" t="s">
        <v>173</v>
      </c>
      <c r="B186" s="14" t="s">
        <v>174</v>
      </c>
      <c r="C186" s="15">
        <v>0.15</v>
      </c>
      <c r="D186" s="16">
        <v>4516</v>
      </c>
      <c r="E186" s="14"/>
      <c r="F186" s="17" t="s">
        <v>143</v>
      </c>
      <c r="G186" s="18">
        <v>21264</v>
      </c>
    </row>
    <row r="187" spans="1:7">
      <c r="A187" s="14" t="s">
        <v>173</v>
      </c>
      <c r="B187" s="14" t="s">
        <v>174</v>
      </c>
      <c r="C187" s="15">
        <v>1</v>
      </c>
      <c r="D187" s="16">
        <v>6987</v>
      </c>
      <c r="E187" s="14"/>
      <c r="F187" s="17" t="s">
        <v>180</v>
      </c>
      <c r="G187" s="18">
        <v>132870</v>
      </c>
    </row>
    <row r="188" spans="1:7">
      <c r="A188" s="14" t="s">
        <v>173</v>
      </c>
      <c r="B188" s="14" t="s">
        <v>174</v>
      </c>
      <c r="C188" s="15">
        <v>0.15</v>
      </c>
      <c r="D188" s="16">
        <v>4797</v>
      </c>
      <c r="E188" s="14"/>
      <c r="F188" s="17" t="s">
        <v>144</v>
      </c>
      <c r="G188" s="18">
        <v>22104</v>
      </c>
    </row>
    <row r="189" spans="1:7">
      <c r="A189" s="14" t="s">
        <v>173</v>
      </c>
      <c r="B189" s="14" t="s">
        <v>174</v>
      </c>
      <c r="C189" s="15">
        <v>0.5</v>
      </c>
      <c r="D189" s="16">
        <v>4802</v>
      </c>
      <c r="E189" s="14"/>
      <c r="F189" s="17" t="s">
        <v>98</v>
      </c>
      <c r="G189" s="18">
        <f>92975-92975</f>
        <v>0</v>
      </c>
    </row>
    <row r="190" spans="1:7">
      <c r="A190" s="14" t="s">
        <v>173</v>
      </c>
      <c r="B190" s="14" t="s">
        <v>174</v>
      </c>
      <c r="C190" s="15">
        <v>0.15</v>
      </c>
      <c r="D190" s="16">
        <v>4814</v>
      </c>
      <c r="E190" s="14"/>
      <c r="F190" s="17" t="s">
        <v>145</v>
      </c>
      <c r="G190" s="18">
        <v>21157</v>
      </c>
    </row>
    <row r="191" spans="1:7">
      <c r="A191" s="14" t="s">
        <v>173</v>
      </c>
      <c r="B191" s="14" t="s">
        <v>174</v>
      </c>
      <c r="C191" s="15">
        <v>0.15</v>
      </c>
      <c r="D191" s="16">
        <v>4838</v>
      </c>
      <c r="E191" s="14"/>
      <c r="F191" s="17" t="s">
        <v>146</v>
      </c>
      <c r="G191" s="18">
        <v>21946</v>
      </c>
    </row>
    <row r="192" spans="1:7">
      <c r="A192" s="14" t="s">
        <v>173</v>
      </c>
      <c r="B192" s="14" t="s">
        <v>174</v>
      </c>
      <c r="C192" s="15">
        <v>0.4</v>
      </c>
      <c r="D192" s="16">
        <v>5476</v>
      </c>
      <c r="E192" s="14"/>
      <c r="F192" s="17" t="s">
        <v>74</v>
      </c>
      <c r="G192" s="18">
        <v>19824</v>
      </c>
    </row>
    <row r="193" spans="1:8">
      <c r="A193" s="14" t="s">
        <v>173</v>
      </c>
      <c r="B193" s="14" t="s">
        <v>174</v>
      </c>
      <c r="C193" s="15">
        <v>0.15</v>
      </c>
      <c r="D193" s="16" t="s">
        <v>35</v>
      </c>
      <c r="E193" s="14"/>
      <c r="F193" s="23" t="s">
        <v>99</v>
      </c>
      <c r="G193" s="18">
        <v>18750</v>
      </c>
    </row>
    <row r="194" spans="1:8">
      <c r="A194" s="14" t="s">
        <v>173</v>
      </c>
      <c r="B194" s="14" t="s">
        <v>174</v>
      </c>
      <c r="C194" s="15">
        <v>0.4</v>
      </c>
      <c r="D194" s="16">
        <v>5798</v>
      </c>
      <c r="E194" s="14"/>
      <c r="F194" s="17" t="s">
        <v>76</v>
      </c>
      <c r="G194" s="18">
        <v>21035</v>
      </c>
    </row>
    <row r="195" spans="1:8">
      <c r="A195" s="14" t="s">
        <v>173</v>
      </c>
      <c r="B195" s="14" t="s">
        <v>174</v>
      </c>
      <c r="C195" s="15">
        <v>0</v>
      </c>
      <c r="D195" s="16" t="s">
        <v>35</v>
      </c>
      <c r="E195" s="14"/>
      <c r="F195" s="17" t="s">
        <v>35</v>
      </c>
      <c r="G195" s="18">
        <v>20000</v>
      </c>
    </row>
    <row r="196" spans="1:8">
      <c r="A196" s="14" t="s">
        <v>173</v>
      </c>
      <c r="B196" s="14" t="s">
        <v>174</v>
      </c>
      <c r="C196" s="15">
        <v>1</v>
      </c>
      <c r="D196" s="16">
        <v>6506</v>
      </c>
      <c r="E196" s="14"/>
      <c r="F196" s="17" t="s">
        <v>181</v>
      </c>
      <c r="G196" s="18">
        <v>182000</v>
      </c>
    </row>
    <row r="197" spans="1:8">
      <c r="A197" s="14" t="s">
        <v>173</v>
      </c>
      <c r="B197" s="14" t="s">
        <v>174</v>
      </c>
      <c r="C197" s="15">
        <v>0.34</v>
      </c>
      <c r="D197" s="16">
        <v>5287</v>
      </c>
      <c r="E197" s="14"/>
      <c r="F197" s="17" t="s">
        <v>112</v>
      </c>
      <c r="G197" s="18">
        <v>63779</v>
      </c>
    </row>
    <row r="198" spans="1:8">
      <c r="A198" s="14" t="s">
        <v>173</v>
      </c>
      <c r="B198" s="14" t="s">
        <v>174</v>
      </c>
      <c r="C198" s="15">
        <v>0.15</v>
      </c>
      <c r="D198" s="16">
        <v>5312</v>
      </c>
      <c r="E198" s="14"/>
      <c r="F198" s="17" t="s">
        <v>147</v>
      </c>
      <c r="G198" s="18">
        <v>21946</v>
      </c>
    </row>
    <row r="199" spans="1:8">
      <c r="A199" s="14" t="s">
        <v>173</v>
      </c>
      <c r="B199" s="14" t="s">
        <v>174</v>
      </c>
      <c r="C199" s="15">
        <v>1</v>
      </c>
      <c r="D199" s="16">
        <v>5343</v>
      </c>
      <c r="E199" s="14"/>
      <c r="F199" s="17" t="s">
        <v>182</v>
      </c>
      <c r="G199" s="18">
        <v>182007</v>
      </c>
    </row>
    <row r="200" spans="1:8">
      <c r="A200" s="14" t="s">
        <v>173</v>
      </c>
      <c r="B200" s="14" t="s">
        <v>174</v>
      </c>
      <c r="C200" s="15">
        <v>0.4</v>
      </c>
      <c r="D200" s="16" t="s">
        <v>35</v>
      </c>
      <c r="E200" s="14"/>
      <c r="F200" s="17" t="s">
        <v>101</v>
      </c>
      <c r="G200" s="18">
        <f>60000+12000</f>
        <v>72000</v>
      </c>
    </row>
    <row r="201" spans="1:8">
      <c r="A201" s="14" t="s">
        <v>173</v>
      </c>
      <c r="B201" s="14" t="s">
        <v>174</v>
      </c>
      <c r="C201" s="15">
        <v>0.15</v>
      </c>
      <c r="D201" s="16">
        <v>5978</v>
      </c>
      <c r="E201" s="14"/>
      <c r="F201" s="17" t="s">
        <v>148</v>
      </c>
      <c r="G201" s="18">
        <v>17383</v>
      </c>
    </row>
    <row r="202" spans="1:8">
      <c r="A202" s="14"/>
      <c r="B202" s="14"/>
      <c r="C202" s="15"/>
      <c r="D202" s="16"/>
      <c r="E202" s="14"/>
      <c r="F202" s="17"/>
      <c r="G202" s="20">
        <f>SUM(G175:G201)</f>
        <v>1426217</v>
      </c>
      <c r="H202" s="1" t="s">
        <v>183</v>
      </c>
    </row>
    <row r="203" spans="1:8">
      <c r="A203" s="14"/>
      <c r="B203" s="14"/>
      <c r="C203" s="15"/>
      <c r="D203" s="16"/>
      <c r="E203" s="14"/>
      <c r="F203" s="17"/>
      <c r="G203" s="18"/>
    </row>
    <row r="204" spans="1:8">
      <c r="A204" s="14"/>
      <c r="B204" s="14"/>
      <c r="C204" s="15"/>
      <c r="D204" s="16"/>
      <c r="E204" s="14"/>
      <c r="F204" s="17"/>
      <c r="G204" s="18"/>
    </row>
    <row r="205" spans="1:8">
      <c r="A205" s="14"/>
      <c r="B205" s="14"/>
      <c r="C205" s="15"/>
      <c r="D205" s="16"/>
      <c r="E205" s="14"/>
      <c r="F205" s="17"/>
      <c r="G205" s="18"/>
    </row>
    <row r="206" spans="1:8">
      <c r="A206" s="14" t="s">
        <v>184</v>
      </c>
      <c r="B206" s="14" t="s">
        <v>185</v>
      </c>
      <c r="C206" s="15">
        <v>0.71</v>
      </c>
      <c r="D206" s="16">
        <v>5942</v>
      </c>
      <c r="E206" s="14"/>
      <c r="F206" s="17" t="s">
        <v>186</v>
      </c>
      <c r="G206" s="18">
        <v>40121</v>
      </c>
    </row>
    <row r="207" spans="1:8">
      <c r="A207" s="14" t="s">
        <v>184</v>
      </c>
      <c r="B207" s="14" t="s">
        <v>185</v>
      </c>
      <c r="C207" s="15">
        <v>1</v>
      </c>
      <c r="D207" s="16">
        <v>6962</v>
      </c>
      <c r="E207" s="14"/>
      <c r="F207" s="17" t="s">
        <v>187</v>
      </c>
      <c r="G207" s="18">
        <v>69993</v>
      </c>
    </row>
    <row r="208" spans="1:8">
      <c r="A208" s="14" t="s">
        <v>184</v>
      </c>
      <c r="B208" s="14" t="s">
        <v>185</v>
      </c>
      <c r="C208" s="15">
        <v>0.6</v>
      </c>
      <c r="D208" s="16">
        <v>6104</v>
      </c>
      <c r="E208" s="14"/>
      <c r="F208" s="17" t="s">
        <v>32</v>
      </c>
      <c r="G208" s="18">
        <v>42390</v>
      </c>
    </row>
    <row r="209" spans="1:8">
      <c r="A209" s="14" t="s">
        <v>184</v>
      </c>
      <c r="B209" s="14" t="s">
        <v>185</v>
      </c>
      <c r="C209" s="15">
        <v>0.6</v>
      </c>
      <c r="D209" s="16">
        <v>4893</v>
      </c>
      <c r="E209" s="14"/>
      <c r="F209" s="17" t="s">
        <v>33</v>
      </c>
      <c r="G209" s="18">
        <v>42870</v>
      </c>
    </row>
    <row r="210" spans="1:8">
      <c r="A210" s="14" t="s">
        <v>184</v>
      </c>
      <c r="B210" s="14" t="s">
        <v>185</v>
      </c>
      <c r="C210" s="15">
        <v>0.6</v>
      </c>
      <c r="D210" s="16">
        <v>5690</v>
      </c>
      <c r="E210" s="14"/>
      <c r="F210" s="17" t="s">
        <v>34</v>
      </c>
      <c r="G210" s="18">
        <v>42870</v>
      </c>
    </row>
    <row r="211" spans="1:8">
      <c r="A211" s="14" t="s">
        <v>184</v>
      </c>
      <c r="B211" s="14" t="s">
        <v>185</v>
      </c>
      <c r="C211" s="15">
        <v>1</v>
      </c>
      <c r="D211" s="16">
        <v>5021</v>
      </c>
      <c r="E211" s="14"/>
      <c r="F211" s="17" t="s">
        <v>188</v>
      </c>
      <c r="G211" s="18">
        <v>71450</v>
      </c>
    </row>
    <row r="212" spans="1:8">
      <c r="A212" s="14" t="s">
        <v>184</v>
      </c>
      <c r="B212" s="14" t="s">
        <v>185</v>
      </c>
      <c r="C212" s="15">
        <v>1</v>
      </c>
      <c r="D212" s="16">
        <v>6984</v>
      </c>
      <c r="E212" s="14"/>
      <c r="F212" s="17" t="s">
        <v>189</v>
      </c>
      <c r="G212" s="18">
        <v>59805</v>
      </c>
    </row>
    <row r="213" spans="1:8">
      <c r="A213" s="14" t="s">
        <v>184</v>
      </c>
      <c r="B213" s="14" t="s">
        <v>185</v>
      </c>
      <c r="C213" s="15">
        <v>0</v>
      </c>
      <c r="D213" s="16" t="s">
        <v>35</v>
      </c>
      <c r="E213" s="14"/>
      <c r="F213" s="16" t="s">
        <v>35</v>
      </c>
      <c r="G213" s="18">
        <v>8000</v>
      </c>
    </row>
    <row r="214" spans="1:8">
      <c r="A214" s="14" t="s">
        <v>173</v>
      </c>
      <c r="B214" s="14" t="s">
        <v>185</v>
      </c>
      <c r="C214" s="15">
        <v>0.6</v>
      </c>
      <c r="D214" s="16">
        <v>5289</v>
      </c>
      <c r="E214" s="14"/>
      <c r="F214" s="17" t="s">
        <v>36</v>
      </c>
      <c r="G214" s="19">
        <v>45525</v>
      </c>
    </row>
    <row r="215" spans="1:8">
      <c r="A215" s="14"/>
      <c r="B215" s="14"/>
      <c r="C215" s="15"/>
      <c r="D215" s="16"/>
      <c r="E215" s="14"/>
      <c r="F215" s="17"/>
      <c r="G215" s="20">
        <f>SUM(G206:G214)</f>
        <v>423024</v>
      </c>
      <c r="H215" s="1" t="s">
        <v>190</v>
      </c>
    </row>
    <row r="216" spans="1:8">
      <c r="A216" s="14"/>
      <c r="B216" s="14"/>
      <c r="C216" s="15"/>
      <c r="D216" s="16"/>
      <c r="E216" s="14"/>
      <c r="F216" s="17"/>
      <c r="G216" s="18"/>
    </row>
    <row r="217" spans="1:8">
      <c r="A217" s="14"/>
      <c r="B217" s="14"/>
      <c r="C217" s="15"/>
      <c r="D217" s="16"/>
      <c r="E217" s="14"/>
      <c r="F217" s="17"/>
      <c r="G217" s="18"/>
    </row>
    <row r="218" spans="1:8">
      <c r="A218" s="14" t="s">
        <v>191</v>
      </c>
      <c r="B218" s="14" t="s">
        <v>192</v>
      </c>
      <c r="C218" s="15">
        <v>1</v>
      </c>
      <c r="D218" s="16">
        <v>6919</v>
      </c>
      <c r="E218" s="14"/>
      <c r="F218" s="17" t="s">
        <v>193</v>
      </c>
      <c r="G218" s="18">
        <v>200850</v>
      </c>
    </row>
    <row r="219" spans="1:8">
      <c r="A219" s="14" t="s">
        <v>191</v>
      </c>
      <c r="B219" s="14" t="s">
        <v>192</v>
      </c>
      <c r="C219" s="15">
        <v>1</v>
      </c>
      <c r="D219" s="16">
        <v>6175</v>
      </c>
      <c r="E219" s="14"/>
      <c r="F219" s="17" t="s">
        <v>194</v>
      </c>
      <c r="G219" s="18">
        <v>118061</v>
      </c>
    </row>
    <row r="220" spans="1:8">
      <c r="A220" s="14" t="s">
        <v>191</v>
      </c>
      <c r="B220" s="14" t="s">
        <v>192</v>
      </c>
      <c r="C220" s="15">
        <v>0</v>
      </c>
      <c r="D220" s="16" t="s">
        <v>35</v>
      </c>
      <c r="E220" s="14"/>
      <c r="F220" s="17" t="s">
        <v>35</v>
      </c>
      <c r="G220" s="19">
        <v>9600</v>
      </c>
    </row>
    <row r="221" spans="1:8">
      <c r="A221" s="14"/>
      <c r="B221" s="14"/>
      <c r="C221" s="15"/>
      <c r="D221" s="16"/>
      <c r="E221" s="14"/>
      <c r="F221" s="17"/>
      <c r="G221" s="20">
        <f>SUM(G218:G220)</f>
        <v>328511</v>
      </c>
    </row>
    <row r="222" spans="1:8">
      <c r="A222" s="14"/>
      <c r="B222" s="14"/>
      <c r="C222" s="15"/>
      <c r="D222" s="16"/>
      <c r="E222" s="14"/>
      <c r="F222" s="17"/>
      <c r="G222" s="18"/>
    </row>
    <row r="223" spans="1:8">
      <c r="A223" s="14" t="s">
        <v>195</v>
      </c>
      <c r="B223" s="14" t="s">
        <v>196</v>
      </c>
      <c r="C223" s="15">
        <v>1</v>
      </c>
      <c r="D223" s="16">
        <v>4043</v>
      </c>
      <c r="E223" s="14"/>
      <c r="F223" s="17" t="s">
        <v>197</v>
      </c>
      <c r="G223" s="18">
        <v>75875</v>
      </c>
    </row>
    <row r="224" spans="1:8">
      <c r="A224" s="14" t="s">
        <v>195</v>
      </c>
      <c r="B224" s="14" t="s">
        <v>196</v>
      </c>
      <c r="C224" s="15">
        <v>0</v>
      </c>
      <c r="D224" s="16" t="s">
        <v>35</v>
      </c>
      <c r="E224" s="14"/>
      <c r="F224" s="17"/>
      <c r="G224" s="18">
        <v>20000</v>
      </c>
    </row>
    <row r="225" spans="1:8">
      <c r="A225" s="14" t="s">
        <v>195</v>
      </c>
      <c r="B225" s="14" t="s">
        <v>196</v>
      </c>
      <c r="C225" s="15">
        <v>1</v>
      </c>
      <c r="D225" s="16">
        <v>5956</v>
      </c>
      <c r="E225" s="14"/>
      <c r="F225" s="17" t="s">
        <v>198</v>
      </c>
      <c r="G225" s="18">
        <v>85750</v>
      </c>
    </row>
    <row r="226" spans="1:8">
      <c r="A226" s="14" t="s">
        <v>195</v>
      </c>
      <c r="B226" s="14" t="s">
        <v>196</v>
      </c>
      <c r="C226" s="15">
        <v>1</v>
      </c>
      <c r="D226" s="16">
        <v>6981</v>
      </c>
      <c r="E226" s="14"/>
      <c r="F226" s="17" t="s">
        <v>199</v>
      </c>
      <c r="G226" s="18">
        <v>115200</v>
      </c>
    </row>
    <row r="227" spans="1:8">
      <c r="A227" s="14" t="s">
        <v>195</v>
      </c>
      <c r="B227" s="14" t="s">
        <v>196</v>
      </c>
      <c r="C227" s="15">
        <v>1</v>
      </c>
      <c r="D227" s="16">
        <v>5765</v>
      </c>
      <c r="E227" s="14"/>
      <c r="F227" s="17" t="s">
        <v>200</v>
      </c>
      <c r="G227" s="18">
        <v>77250</v>
      </c>
    </row>
    <row r="228" spans="1:8">
      <c r="A228" s="14" t="s">
        <v>195</v>
      </c>
      <c r="B228" s="14" t="s">
        <v>196</v>
      </c>
      <c r="C228" s="15">
        <v>0</v>
      </c>
      <c r="D228" s="16" t="s">
        <v>35</v>
      </c>
      <c r="E228" s="14"/>
      <c r="F228" s="17"/>
      <c r="G228" s="19">
        <v>5000</v>
      </c>
    </row>
    <row r="229" spans="1:8">
      <c r="A229" s="14"/>
      <c r="B229" s="14"/>
      <c r="C229" s="15"/>
      <c r="D229" s="16"/>
      <c r="E229" s="14"/>
      <c r="F229" s="17"/>
      <c r="G229" s="20">
        <f>SUM(G223:G228)</f>
        <v>379075</v>
      </c>
    </row>
    <row r="230" spans="1:8">
      <c r="A230" s="14"/>
      <c r="B230" s="14"/>
      <c r="C230" s="15"/>
      <c r="D230" s="16"/>
      <c r="E230" s="14"/>
      <c r="F230" s="17"/>
      <c r="G230" s="20"/>
    </row>
    <row r="231" spans="1:8">
      <c r="A231" s="21" t="s">
        <v>201</v>
      </c>
      <c r="B231" s="5"/>
      <c r="C231" s="30"/>
      <c r="D231" s="7"/>
      <c r="E231" s="5"/>
      <c r="F231" s="8" t="s">
        <v>201</v>
      </c>
      <c r="G231" s="20">
        <f>G229+G221</f>
        <v>707586</v>
      </c>
      <c r="H231" s="1" t="s">
        <v>202</v>
      </c>
    </row>
    <row r="232" spans="1:8">
      <c r="A232" s="14"/>
      <c r="B232" s="14"/>
      <c r="C232" s="15"/>
      <c r="D232" s="16"/>
      <c r="E232" s="14"/>
      <c r="F232" s="17"/>
      <c r="G232" s="18"/>
    </row>
    <row r="233" spans="1:8">
      <c r="A233" s="14"/>
      <c r="B233" s="14"/>
      <c r="C233" s="15"/>
      <c r="D233" s="16"/>
      <c r="E233" s="14"/>
      <c r="F233" s="17"/>
      <c r="G233" s="18"/>
    </row>
    <row r="234" spans="1:8">
      <c r="A234" s="14" t="s">
        <v>203</v>
      </c>
      <c r="B234" s="14" t="s">
        <v>204</v>
      </c>
      <c r="C234" s="15">
        <v>1</v>
      </c>
      <c r="D234" s="16">
        <v>5496</v>
      </c>
      <c r="E234" s="14"/>
      <c r="F234" s="17" t="s">
        <v>205</v>
      </c>
      <c r="G234" s="18">
        <v>88255</v>
      </c>
    </row>
    <row r="235" spans="1:8">
      <c r="A235" s="14" t="s">
        <v>203</v>
      </c>
      <c r="B235" s="14" t="s">
        <v>204</v>
      </c>
      <c r="C235" s="15">
        <v>0</v>
      </c>
      <c r="D235" s="16" t="s">
        <v>35</v>
      </c>
      <c r="E235" s="14"/>
      <c r="F235" s="17" t="s">
        <v>35</v>
      </c>
      <c r="G235" s="18">
        <v>2700</v>
      </c>
    </row>
    <row r="236" spans="1:8">
      <c r="A236" s="14"/>
      <c r="B236" s="14"/>
      <c r="C236" s="15"/>
      <c r="D236" s="16"/>
      <c r="E236" s="14"/>
      <c r="F236" s="17"/>
      <c r="G236" s="20">
        <f>SUM(G234:G235)</f>
        <v>90955</v>
      </c>
    </row>
    <row r="237" spans="1:8">
      <c r="A237" s="14"/>
      <c r="B237" s="14"/>
      <c r="C237" s="15"/>
      <c r="D237" s="16"/>
      <c r="E237" s="14"/>
      <c r="F237" s="17"/>
      <c r="G237" s="18"/>
    </row>
    <row r="238" spans="1:8">
      <c r="A238" s="14"/>
      <c r="B238" s="14"/>
      <c r="C238" s="15"/>
      <c r="D238" s="16"/>
      <c r="E238" s="14"/>
      <c r="F238" s="17"/>
      <c r="G238" s="18"/>
    </row>
    <row r="239" spans="1:8">
      <c r="A239" s="14" t="s">
        <v>206</v>
      </c>
      <c r="B239" s="14" t="s">
        <v>207</v>
      </c>
      <c r="C239" s="15">
        <v>1</v>
      </c>
      <c r="D239" s="16">
        <v>4199</v>
      </c>
      <c r="E239" s="14"/>
      <c r="F239" s="17" t="s">
        <v>208</v>
      </c>
      <c r="G239" s="18">
        <v>134415</v>
      </c>
    </row>
    <row r="240" spans="1:8">
      <c r="A240" s="14" t="s">
        <v>206</v>
      </c>
      <c r="B240" s="14" t="s">
        <v>207</v>
      </c>
      <c r="C240" s="15">
        <v>0</v>
      </c>
      <c r="D240" s="16" t="s">
        <v>35</v>
      </c>
      <c r="E240" s="14"/>
      <c r="F240" s="17" t="s">
        <v>35</v>
      </c>
      <c r="G240" s="19">
        <v>4050</v>
      </c>
    </row>
    <row r="241" spans="1:8">
      <c r="A241" s="14"/>
      <c r="B241" s="14"/>
      <c r="C241" s="15"/>
      <c r="D241" s="16"/>
      <c r="E241" s="14"/>
      <c r="F241" s="17"/>
      <c r="G241" s="20">
        <f>SUM(G239:G240)</f>
        <v>138465</v>
      </c>
    </row>
    <row r="242" spans="1:8">
      <c r="A242" s="14"/>
      <c r="B242" s="14"/>
      <c r="C242" s="15"/>
      <c r="D242" s="16"/>
      <c r="E242" s="14"/>
      <c r="F242" s="17"/>
      <c r="G242" s="20"/>
    </row>
    <row r="243" spans="1:8">
      <c r="A243" s="21" t="s">
        <v>209</v>
      </c>
      <c r="B243" s="5"/>
      <c r="C243" s="30"/>
      <c r="D243" s="7"/>
      <c r="E243" s="5"/>
      <c r="F243" s="8" t="s">
        <v>209</v>
      </c>
      <c r="G243" s="20">
        <f>G241+G236</f>
        <v>229420</v>
      </c>
      <c r="H243" s="1" t="s">
        <v>210</v>
      </c>
    </row>
    <row r="244" spans="1:8">
      <c r="A244" s="14"/>
      <c r="B244" s="14"/>
      <c r="C244" s="15"/>
      <c r="D244" s="16"/>
      <c r="E244" s="14"/>
      <c r="F244" s="17"/>
      <c r="G244" s="18"/>
    </row>
    <row r="245" spans="1:8">
      <c r="A245" s="14" t="s">
        <v>211</v>
      </c>
      <c r="B245" s="14" t="s">
        <v>212</v>
      </c>
      <c r="C245" s="15">
        <v>0</v>
      </c>
      <c r="D245" s="16" t="s">
        <v>35</v>
      </c>
      <c r="E245" s="14"/>
      <c r="F245" s="32" t="s">
        <v>35</v>
      </c>
      <c r="G245" s="20">
        <v>15000</v>
      </c>
    </row>
    <row r="246" spans="1:8">
      <c r="A246" s="14"/>
      <c r="B246" s="14"/>
      <c r="C246" s="15"/>
      <c r="D246" s="16"/>
      <c r="E246" s="14"/>
      <c r="F246" s="17"/>
      <c r="G246" s="18"/>
    </row>
    <row r="247" spans="1:8">
      <c r="A247" s="14" t="s">
        <v>213</v>
      </c>
      <c r="B247" s="14" t="s">
        <v>214</v>
      </c>
      <c r="C247" s="15">
        <v>1</v>
      </c>
      <c r="D247" s="16">
        <v>4449</v>
      </c>
      <c r="E247" s="14"/>
      <c r="F247" s="17" t="s">
        <v>215</v>
      </c>
      <c r="G247" s="18">
        <v>80387</v>
      </c>
    </row>
    <row r="248" spans="1:8">
      <c r="A248" s="14" t="s">
        <v>213</v>
      </c>
      <c r="B248" s="14" t="s">
        <v>214</v>
      </c>
      <c r="C248" s="15">
        <v>1</v>
      </c>
      <c r="D248" s="16">
        <v>4583</v>
      </c>
      <c r="E248" s="14"/>
      <c r="F248" s="17" t="s">
        <v>216</v>
      </c>
      <c r="G248" s="18">
        <v>79787</v>
      </c>
    </row>
    <row r="249" spans="1:8">
      <c r="A249" s="14" t="s">
        <v>213</v>
      </c>
      <c r="B249" s="14" t="s">
        <v>214</v>
      </c>
      <c r="C249" s="15">
        <v>1</v>
      </c>
      <c r="D249" s="16">
        <v>6225</v>
      </c>
      <c r="E249" s="14"/>
      <c r="F249" s="17" t="s">
        <v>217</v>
      </c>
      <c r="G249" s="18">
        <v>76687</v>
      </c>
    </row>
    <row r="250" spans="1:8">
      <c r="A250" s="14" t="s">
        <v>213</v>
      </c>
      <c r="B250" s="14" t="s">
        <v>214</v>
      </c>
      <c r="C250" s="15">
        <v>1</v>
      </c>
      <c r="D250" s="16">
        <v>6926</v>
      </c>
      <c r="E250" s="14"/>
      <c r="F250" s="17" t="s">
        <v>218</v>
      </c>
      <c r="G250" s="18">
        <v>76187</v>
      </c>
    </row>
    <row r="251" spans="1:8">
      <c r="A251" s="14" t="s">
        <v>213</v>
      </c>
      <c r="B251" s="14" t="s">
        <v>214</v>
      </c>
      <c r="C251" s="15">
        <v>0</v>
      </c>
      <c r="D251" s="16" t="s">
        <v>35</v>
      </c>
      <c r="E251" s="14"/>
      <c r="F251" s="17"/>
      <c r="G251" s="18">
        <v>0</v>
      </c>
    </row>
    <row r="252" spans="1:8">
      <c r="A252" s="14"/>
      <c r="B252" s="14"/>
      <c r="C252" s="15"/>
      <c r="D252" s="16"/>
      <c r="E252" s="14"/>
      <c r="F252" s="17"/>
      <c r="G252" s="20">
        <f>SUM(G247:G251)</f>
        <v>313048</v>
      </c>
    </row>
    <row r="253" spans="1:8">
      <c r="A253" s="14"/>
      <c r="B253" s="14"/>
      <c r="C253" s="15"/>
      <c r="D253" s="16"/>
      <c r="E253" s="14"/>
      <c r="F253" s="17"/>
      <c r="G253" s="20"/>
    </row>
    <row r="254" spans="1:8">
      <c r="A254" s="21" t="s">
        <v>219</v>
      </c>
      <c r="B254" s="5"/>
      <c r="C254" s="30"/>
      <c r="D254" s="7"/>
      <c r="E254" s="5"/>
      <c r="F254" s="8" t="s">
        <v>219</v>
      </c>
      <c r="G254" s="20">
        <f>G252+G245</f>
        <v>328048</v>
      </c>
      <c r="H254" s="1" t="s">
        <v>220</v>
      </c>
    </row>
    <row r="255" spans="1:8">
      <c r="A255" s="14"/>
      <c r="B255" s="14"/>
      <c r="C255" s="15"/>
      <c r="D255" s="16"/>
      <c r="E255" s="14"/>
      <c r="F255" s="17"/>
      <c r="G255" s="18"/>
    </row>
    <row r="256" spans="1:8">
      <c r="A256" s="14" t="s">
        <v>221</v>
      </c>
      <c r="B256" s="14" t="s">
        <v>222</v>
      </c>
      <c r="C256" s="15">
        <v>1</v>
      </c>
      <c r="D256" s="16">
        <v>6276</v>
      </c>
      <c r="E256" s="14"/>
      <c r="F256" s="17" t="s">
        <v>223</v>
      </c>
      <c r="G256" s="18">
        <v>67880</v>
      </c>
    </row>
    <row r="257" spans="1:7">
      <c r="A257" s="14" t="s">
        <v>221</v>
      </c>
      <c r="B257" s="14" t="s">
        <v>222</v>
      </c>
      <c r="C257" s="15">
        <v>0</v>
      </c>
      <c r="D257" s="16" t="s">
        <v>35</v>
      </c>
      <c r="E257" s="14"/>
      <c r="F257" s="17" t="s">
        <v>35</v>
      </c>
      <c r="G257" s="19">
        <v>0</v>
      </c>
    </row>
    <row r="258" spans="1:7">
      <c r="A258" s="14"/>
      <c r="B258" s="14"/>
      <c r="C258" s="15"/>
      <c r="D258" s="16"/>
      <c r="E258" s="14"/>
      <c r="F258" s="17"/>
      <c r="G258" s="20">
        <f>SUM(G256:G257)</f>
        <v>67880</v>
      </c>
    </row>
    <row r="259" spans="1:7">
      <c r="A259" s="14"/>
      <c r="B259" s="14"/>
      <c r="C259" s="15"/>
      <c r="D259" s="16"/>
      <c r="E259" s="14"/>
      <c r="F259" s="17"/>
      <c r="G259" s="18"/>
    </row>
    <row r="260" spans="1:7">
      <c r="A260" s="14"/>
      <c r="B260" s="14"/>
      <c r="C260" s="15"/>
      <c r="D260" s="16"/>
      <c r="E260" s="14"/>
      <c r="F260" s="17"/>
      <c r="G260" s="18"/>
    </row>
    <row r="261" spans="1:7">
      <c r="A261" s="14"/>
      <c r="B261" s="14"/>
      <c r="C261" s="15"/>
      <c r="D261" s="16"/>
      <c r="E261" s="14"/>
      <c r="F261" s="17"/>
      <c r="G261" s="18"/>
    </row>
    <row r="262" spans="1:7">
      <c r="A262" s="14" t="s">
        <v>224</v>
      </c>
      <c r="B262" s="14" t="s">
        <v>225</v>
      </c>
      <c r="C262" s="15">
        <v>1</v>
      </c>
      <c r="D262" s="16">
        <v>4045</v>
      </c>
      <c r="E262" s="14"/>
      <c r="F262" s="17" t="s">
        <v>226</v>
      </c>
      <c r="G262" s="18">
        <v>71217</v>
      </c>
    </row>
    <row r="263" spans="1:7">
      <c r="A263" s="14" t="s">
        <v>224</v>
      </c>
      <c r="B263" s="14" t="s">
        <v>225</v>
      </c>
      <c r="C263" s="15">
        <v>1</v>
      </c>
      <c r="D263" s="16">
        <v>5563</v>
      </c>
      <c r="E263" s="14"/>
      <c r="F263" s="17" t="s">
        <v>227</v>
      </c>
      <c r="G263" s="18">
        <v>68117</v>
      </c>
    </row>
    <row r="264" spans="1:7">
      <c r="A264" s="14" t="s">
        <v>224</v>
      </c>
      <c r="B264" s="14" t="s">
        <v>225</v>
      </c>
      <c r="C264" s="15">
        <v>1</v>
      </c>
      <c r="D264" s="16">
        <v>6245</v>
      </c>
      <c r="E264" s="14"/>
      <c r="F264" s="17" t="s">
        <v>228</v>
      </c>
      <c r="G264" s="18">
        <v>81526</v>
      </c>
    </row>
    <row r="265" spans="1:7">
      <c r="A265" s="14" t="s">
        <v>224</v>
      </c>
      <c r="B265" s="14" t="s">
        <v>225</v>
      </c>
      <c r="C265" s="15">
        <v>1</v>
      </c>
      <c r="D265" s="16">
        <v>6955</v>
      </c>
      <c r="E265" s="14"/>
      <c r="F265" s="17" t="s">
        <v>229</v>
      </c>
      <c r="G265" s="18">
        <v>67367</v>
      </c>
    </row>
    <row r="266" spans="1:7">
      <c r="A266" s="14" t="s">
        <v>224</v>
      </c>
      <c r="B266" s="14" t="s">
        <v>225</v>
      </c>
      <c r="C266" s="15">
        <v>0</v>
      </c>
      <c r="D266" s="16" t="s">
        <v>35</v>
      </c>
      <c r="E266" s="14"/>
      <c r="F266" s="17" t="s">
        <v>35</v>
      </c>
      <c r="G266" s="19">
        <v>2500</v>
      </c>
    </row>
    <row r="267" spans="1:7">
      <c r="A267" s="14"/>
      <c r="B267" s="14"/>
      <c r="C267" s="15"/>
      <c r="D267" s="16"/>
      <c r="E267" s="14"/>
      <c r="F267" s="17"/>
      <c r="G267" s="20">
        <f>SUM(G262:G266)</f>
        <v>290727</v>
      </c>
    </row>
    <row r="268" spans="1:7">
      <c r="A268" s="14"/>
      <c r="B268" s="14"/>
      <c r="C268" s="15"/>
      <c r="D268" s="16"/>
      <c r="E268" s="14"/>
      <c r="F268" s="17"/>
      <c r="G268" s="18"/>
    </row>
    <row r="269" spans="1:7">
      <c r="A269" s="14"/>
      <c r="B269" s="14"/>
      <c r="C269" s="15"/>
      <c r="D269" s="16"/>
      <c r="E269" s="14"/>
      <c r="F269" s="17"/>
      <c r="G269" s="18"/>
    </row>
    <row r="270" spans="1:7">
      <c r="A270" s="14" t="s">
        <v>230</v>
      </c>
      <c r="B270" s="14" t="s">
        <v>231</v>
      </c>
      <c r="C270" s="15">
        <v>1</v>
      </c>
      <c r="D270" s="16">
        <v>4104</v>
      </c>
      <c r="E270" s="14"/>
      <c r="F270" s="17" t="s">
        <v>232</v>
      </c>
      <c r="G270" s="18">
        <v>82849</v>
      </c>
    </row>
    <row r="271" spans="1:7">
      <c r="A271" s="14" t="s">
        <v>230</v>
      </c>
      <c r="B271" s="14" t="s">
        <v>231</v>
      </c>
      <c r="C271" s="15">
        <v>1</v>
      </c>
      <c r="D271" s="16">
        <v>5421</v>
      </c>
      <c r="E271" s="14"/>
      <c r="F271" s="17" t="s">
        <v>233</v>
      </c>
      <c r="G271" s="18">
        <v>70967</v>
      </c>
    </row>
    <row r="272" spans="1:7">
      <c r="A272" s="14" t="s">
        <v>230</v>
      </c>
      <c r="B272" s="14" t="s">
        <v>231</v>
      </c>
      <c r="C272" s="15">
        <v>1</v>
      </c>
      <c r="D272" s="16">
        <v>6460</v>
      </c>
      <c r="E272" s="14"/>
      <c r="F272" s="17" t="s">
        <v>234</v>
      </c>
      <c r="G272" s="18">
        <v>65587</v>
      </c>
    </row>
    <row r="273" spans="1:7">
      <c r="A273" s="14" t="s">
        <v>230</v>
      </c>
      <c r="B273" s="14" t="s">
        <v>231</v>
      </c>
      <c r="C273" s="15">
        <v>1</v>
      </c>
      <c r="D273" s="16">
        <v>6533</v>
      </c>
      <c r="E273" s="14"/>
      <c r="F273" s="17" t="s">
        <v>235</v>
      </c>
      <c r="G273" s="18">
        <v>63557</v>
      </c>
    </row>
    <row r="274" spans="1:7">
      <c r="A274" s="14" t="s">
        <v>230</v>
      </c>
      <c r="B274" s="14" t="s">
        <v>231</v>
      </c>
      <c r="C274" s="15">
        <v>0</v>
      </c>
      <c r="D274" s="16" t="s">
        <v>35</v>
      </c>
      <c r="E274" s="14"/>
      <c r="F274" s="17" t="s">
        <v>35</v>
      </c>
      <c r="G274" s="19">
        <v>2500</v>
      </c>
    </row>
    <row r="275" spans="1:7">
      <c r="A275" s="14"/>
      <c r="B275" s="14"/>
      <c r="C275" s="15"/>
      <c r="D275" s="16"/>
      <c r="E275" s="14"/>
      <c r="F275" s="17"/>
      <c r="G275" s="20">
        <f>SUM(G270:G274)</f>
        <v>285460</v>
      </c>
    </row>
    <row r="276" spans="1:7">
      <c r="A276" s="14"/>
      <c r="B276" s="14"/>
      <c r="C276" s="15"/>
      <c r="D276" s="16"/>
      <c r="E276" s="14"/>
      <c r="F276" s="17"/>
      <c r="G276" s="20"/>
    </row>
    <row r="277" spans="1:7">
      <c r="A277" s="14" t="s">
        <v>236</v>
      </c>
      <c r="B277" s="14" t="s">
        <v>237</v>
      </c>
      <c r="C277" s="15">
        <v>0</v>
      </c>
      <c r="D277" s="16" t="s">
        <v>35</v>
      </c>
      <c r="E277" s="14"/>
      <c r="F277" s="33" t="s">
        <v>35</v>
      </c>
      <c r="G277" s="34">
        <v>12000</v>
      </c>
    </row>
    <row r="278" spans="1:7">
      <c r="A278" s="14"/>
      <c r="B278" s="14"/>
      <c r="C278" s="15"/>
      <c r="D278" s="14"/>
      <c r="E278" s="14"/>
      <c r="F278" s="35"/>
      <c r="G278" s="36"/>
    </row>
    <row r="279" spans="1:7">
      <c r="A279" s="14" t="s">
        <v>238</v>
      </c>
      <c r="B279" s="14" t="s">
        <v>239</v>
      </c>
      <c r="C279" s="15">
        <v>0</v>
      </c>
      <c r="D279" s="16" t="s">
        <v>35</v>
      </c>
      <c r="E279" s="14"/>
      <c r="F279" s="32" t="s">
        <v>35</v>
      </c>
      <c r="G279" s="20">
        <v>12000</v>
      </c>
    </row>
    <row r="280" spans="1:7">
      <c r="A280" s="14"/>
      <c r="B280" s="14"/>
      <c r="C280" s="15"/>
      <c r="D280" s="14"/>
      <c r="E280" s="14"/>
      <c r="F280" s="32"/>
      <c r="G280" s="20"/>
    </row>
    <row r="281" spans="1:7">
      <c r="A281" s="14"/>
      <c r="B281" s="14"/>
      <c r="C281" s="15"/>
      <c r="D281" s="14"/>
      <c r="E281" s="14"/>
      <c r="F281" s="35"/>
      <c r="G281" s="36"/>
    </row>
    <row r="282" spans="1:7">
      <c r="A282" s="14" t="s">
        <v>240</v>
      </c>
      <c r="B282" s="14" t="s">
        <v>241</v>
      </c>
      <c r="C282" s="15">
        <v>0</v>
      </c>
      <c r="D282" s="16" t="s">
        <v>35</v>
      </c>
      <c r="E282" s="14"/>
      <c r="F282" s="32" t="s">
        <v>35</v>
      </c>
      <c r="G282" s="20">
        <v>18000</v>
      </c>
    </row>
    <row r="283" spans="1:7">
      <c r="A283" s="14"/>
      <c r="B283" s="14"/>
      <c r="C283" s="15"/>
      <c r="D283" s="16"/>
      <c r="E283" s="14"/>
      <c r="F283" s="17"/>
      <c r="G283" s="20"/>
    </row>
    <row r="284" spans="1:7">
      <c r="A284" s="14"/>
      <c r="B284" s="14"/>
      <c r="C284" s="15"/>
      <c r="D284" s="16"/>
      <c r="E284" s="14"/>
      <c r="F284" s="17"/>
      <c r="G284" s="18"/>
    </row>
    <row r="285" spans="1:7">
      <c r="A285" s="14" t="s">
        <v>242</v>
      </c>
      <c r="B285" s="14" t="s">
        <v>243</v>
      </c>
      <c r="C285" s="15">
        <v>1</v>
      </c>
      <c r="D285" s="16">
        <v>6836</v>
      </c>
      <c r="E285" s="14"/>
      <c r="F285" s="17" t="s">
        <v>244</v>
      </c>
      <c r="G285" s="18">
        <v>126690</v>
      </c>
    </row>
    <row r="286" spans="1:7">
      <c r="A286" s="14" t="s">
        <v>242</v>
      </c>
      <c r="B286" s="14" t="s">
        <v>243</v>
      </c>
      <c r="C286" s="15">
        <v>0</v>
      </c>
      <c r="D286" s="16" t="s">
        <v>35</v>
      </c>
      <c r="E286" s="14"/>
      <c r="F286" s="17" t="s">
        <v>35</v>
      </c>
      <c r="G286" s="19">
        <v>3800</v>
      </c>
    </row>
    <row r="287" spans="1:7">
      <c r="A287" s="14"/>
      <c r="B287" s="14"/>
      <c r="C287" s="15"/>
      <c r="D287" s="16"/>
      <c r="E287" s="14"/>
      <c r="F287" s="17"/>
      <c r="G287" s="20">
        <f>SUM(G285:G286)</f>
        <v>130490</v>
      </c>
    </row>
    <row r="288" spans="1:7">
      <c r="A288" s="14"/>
      <c r="B288" s="14"/>
      <c r="C288" s="15"/>
      <c r="D288" s="16"/>
      <c r="E288" s="14"/>
      <c r="F288" s="17"/>
      <c r="G288" s="20"/>
    </row>
    <row r="289" spans="1:7">
      <c r="A289" s="14"/>
      <c r="B289" s="14"/>
      <c r="C289" s="15"/>
      <c r="D289" s="16"/>
      <c r="E289" s="14"/>
      <c r="F289" s="17"/>
      <c r="G289" s="20"/>
    </row>
    <row r="290" spans="1:7">
      <c r="A290" s="14" t="s">
        <v>245</v>
      </c>
      <c r="B290" s="14" t="s">
        <v>246</v>
      </c>
      <c r="C290" s="15">
        <v>0</v>
      </c>
      <c r="D290" s="16" t="s">
        <v>35</v>
      </c>
      <c r="E290" s="14"/>
      <c r="F290" s="23" t="s">
        <v>35</v>
      </c>
      <c r="G290" s="20">
        <v>25000</v>
      </c>
    </row>
    <row r="291" spans="1:7">
      <c r="A291" s="14"/>
      <c r="B291" s="14"/>
      <c r="C291" s="15"/>
      <c r="D291" s="14"/>
      <c r="E291" s="14"/>
      <c r="F291" s="23"/>
      <c r="G291" s="20"/>
    </row>
    <row r="292" spans="1:7">
      <c r="A292" s="14" t="s">
        <v>247</v>
      </c>
      <c r="B292" s="14" t="s">
        <v>248</v>
      </c>
      <c r="C292" s="15">
        <v>0</v>
      </c>
      <c r="D292" s="16" t="s">
        <v>35</v>
      </c>
      <c r="E292" s="14"/>
      <c r="F292" s="23" t="s">
        <v>35</v>
      </c>
      <c r="G292" s="20">
        <v>30000</v>
      </c>
    </row>
    <row r="293" spans="1:7">
      <c r="A293" s="14"/>
      <c r="B293" s="14"/>
      <c r="C293" s="15"/>
      <c r="D293" s="14"/>
      <c r="E293" s="14"/>
      <c r="F293" s="23"/>
      <c r="G293" s="20"/>
    </row>
    <row r="294" spans="1:7">
      <c r="A294" s="14" t="s">
        <v>249</v>
      </c>
      <c r="B294" s="14" t="s">
        <v>250</v>
      </c>
      <c r="C294" s="15">
        <v>0</v>
      </c>
      <c r="D294" s="16" t="s">
        <v>35</v>
      </c>
      <c r="E294" s="14"/>
      <c r="F294" s="23" t="s">
        <v>35</v>
      </c>
      <c r="G294" s="20">
        <v>3000</v>
      </c>
    </row>
    <row r="295" spans="1:7">
      <c r="A295" s="14"/>
      <c r="B295" s="14"/>
      <c r="C295" s="15"/>
      <c r="D295" s="14"/>
      <c r="E295" s="14"/>
      <c r="F295" s="23"/>
      <c r="G295" s="20"/>
    </row>
    <row r="296" spans="1:7">
      <c r="A296" s="14" t="s">
        <v>251</v>
      </c>
      <c r="B296" s="14" t="s">
        <v>252</v>
      </c>
      <c r="C296" s="15">
        <v>0</v>
      </c>
      <c r="D296" s="16" t="s">
        <v>35</v>
      </c>
      <c r="E296" s="14"/>
      <c r="F296" s="23" t="s">
        <v>35</v>
      </c>
      <c r="G296" s="20">
        <v>5000</v>
      </c>
    </row>
    <row r="297" spans="1:7">
      <c r="A297" s="14"/>
      <c r="B297" s="14"/>
      <c r="C297" s="15"/>
      <c r="D297" s="14"/>
      <c r="E297" s="14"/>
      <c r="F297" s="23"/>
      <c r="G297" s="20"/>
    </row>
    <row r="298" spans="1:7">
      <c r="A298" s="14" t="s">
        <v>253</v>
      </c>
      <c r="B298" s="14" t="s">
        <v>254</v>
      </c>
      <c r="C298" s="15">
        <v>0</v>
      </c>
      <c r="D298" s="16" t="s">
        <v>35</v>
      </c>
      <c r="E298" s="14"/>
      <c r="F298" s="23" t="s">
        <v>35</v>
      </c>
      <c r="G298" s="20">
        <v>7000</v>
      </c>
    </row>
    <row r="299" spans="1:7">
      <c r="A299" s="14"/>
      <c r="B299" s="14"/>
      <c r="C299" s="15"/>
      <c r="D299" s="14"/>
      <c r="E299" s="14"/>
      <c r="F299" s="23"/>
      <c r="G299" s="20"/>
    </row>
    <row r="300" spans="1:7">
      <c r="A300" s="14" t="s">
        <v>255</v>
      </c>
      <c r="B300" s="14" t="s">
        <v>256</v>
      </c>
      <c r="C300" s="15">
        <v>0</v>
      </c>
      <c r="D300" s="16" t="s">
        <v>35</v>
      </c>
      <c r="E300" s="14"/>
      <c r="F300" s="23" t="s">
        <v>35</v>
      </c>
      <c r="G300" s="20">
        <v>20000</v>
      </c>
    </row>
    <row r="301" spans="1:7">
      <c r="A301" s="14"/>
      <c r="B301" s="14"/>
      <c r="C301" s="15"/>
      <c r="D301" s="14"/>
      <c r="E301" s="14"/>
      <c r="F301" s="23"/>
      <c r="G301" s="20"/>
    </row>
    <row r="302" spans="1:7">
      <c r="A302" s="14" t="s">
        <v>257</v>
      </c>
      <c r="B302" s="14" t="s">
        <v>256</v>
      </c>
      <c r="C302" s="15">
        <v>0</v>
      </c>
      <c r="D302" s="16" t="s">
        <v>35</v>
      </c>
      <c r="E302" s="14"/>
      <c r="F302" s="23" t="s">
        <v>35</v>
      </c>
      <c r="G302" s="20">
        <v>20000</v>
      </c>
    </row>
    <row r="303" spans="1:7">
      <c r="A303" s="14"/>
      <c r="B303" s="14"/>
      <c r="C303" s="15"/>
      <c r="D303" s="16"/>
      <c r="E303" s="14"/>
      <c r="F303" s="17"/>
      <c r="G303" s="20"/>
    </row>
    <row r="304" spans="1:7">
      <c r="A304" s="14"/>
      <c r="B304" s="14"/>
      <c r="C304" s="15"/>
      <c r="D304" s="16"/>
      <c r="E304" s="14"/>
      <c r="F304" s="17"/>
      <c r="G304" s="18"/>
    </row>
    <row r="305" spans="1:8">
      <c r="A305" s="14" t="s">
        <v>258</v>
      </c>
      <c r="B305" s="14" t="s">
        <v>259</v>
      </c>
      <c r="C305" s="15">
        <v>1</v>
      </c>
      <c r="D305" s="16">
        <v>5734</v>
      </c>
      <c r="E305" s="14"/>
      <c r="F305" s="17" t="s">
        <v>260</v>
      </c>
      <c r="G305" s="18">
        <v>75863</v>
      </c>
    </row>
    <row r="306" spans="1:8">
      <c r="A306" s="14" t="s">
        <v>258</v>
      </c>
      <c r="B306" s="14" t="s">
        <v>259</v>
      </c>
      <c r="C306" s="15">
        <v>0</v>
      </c>
      <c r="D306" s="16" t="s">
        <v>35</v>
      </c>
      <c r="E306" s="14"/>
      <c r="F306" s="17" t="s">
        <v>35</v>
      </c>
      <c r="G306" s="37">
        <v>-85000</v>
      </c>
    </row>
    <row r="307" spans="1:8">
      <c r="A307" s="14" t="s">
        <v>258</v>
      </c>
      <c r="B307" s="14" t="s">
        <v>259</v>
      </c>
      <c r="C307" s="15">
        <v>1</v>
      </c>
      <c r="D307" s="16">
        <v>5069</v>
      </c>
      <c r="E307" s="14"/>
      <c r="F307" s="17" t="s">
        <v>261</v>
      </c>
      <c r="G307" s="18">
        <v>76363</v>
      </c>
    </row>
    <row r="308" spans="1:8">
      <c r="A308" s="14" t="s">
        <v>258</v>
      </c>
      <c r="B308" s="14" t="s">
        <v>259</v>
      </c>
      <c r="C308" s="15">
        <v>0</v>
      </c>
      <c r="D308" s="16" t="s">
        <v>35</v>
      </c>
      <c r="E308" s="14"/>
      <c r="F308" s="17" t="s">
        <v>35</v>
      </c>
      <c r="G308" s="18">
        <v>0</v>
      </c>
    </row>
    <row r="309" spans="1:8">
      <c r="A309" s="14" t="s">
        <v>258</v>
      </c>
      <c r="B309" s="14" t="s">
        <v>259</v>
      </c>
      <c r="C309" s="15">
        <v>1</v>
      </c>
      <c r="D309" s="16">
        <v>6468</v>
      </c>
      <c r="E309" s="14"/>
      <c r="F309" s="17" t="s">
        <v>262</v>
      </c>
      <c r="G309" s="18">
        <v>69813</v>
      </c>
    </row>
    <row r="310" spans="1:8">
      <c r="A310" s="14" t="s">
        <v>258</v>
      </c>
      <c r="B310" s="14" t="s">
        <v>259</v>
      </c>
      <c r="C310" s="15">
        <v>1</v>
      </c>
      <c r="D310" s="16">
        <v>5463</v>
      </c>
      <c r="E310" s="14"/>
      <c r="F310" s="17" t="s">
        <v>263</v>
      </c>
      <c r="G310" s="19">
        <v>78055</v>
      </c>
    </row>
    <row r="311" spans="1:8">
      <c r="A311" s="14"/>
      <c r="B311" s="14"/>
      <c r="C311" s="15"/>
      <c r="D311" s="16"/>
      <c r="E311" s="14"/>
      <c r="F311" s="17"/>
      <c r="G311" s="20">
        <f>SUM(G305:G310)</f>
        <v>215094</v>
      </c>
    </row>
    <row r="312" spans="1:8">
      <c r="A312" s="14"/>
      <c r="B312" s="14"/>
      <c r="C312" s="15"/>
      <c r="D312" s="16"/>
      <c r="E312" s="14"/>
      <c r="F312" s="17"/>
      <c r="G312" s="20"/>
    </row>
    <row r="313" spans="1:8">
      <c r="A313" s="14" t="s">
        <v>264</v>
      </c>
      <c r="B313" s="14" t="s">
        <v>265</v>
      </c>
      <c r="C313" s="15">
        <v>0</v>
      </c>
      <c r="D313" s="16" t="s">
        <v>35</v>
      </c>
      <c r="E313" s="14"/>
      <c r="F313" s="17" t="s">
        <v>35</v>
      </c>
      <c r="G313" s="20">
        <v>12000</v>
      </c>
    </row>
    <row r="314" spans="1:8">
      <c r="A314" s="14"/>
      <c r="B314" s="14"/>
      <c r="C314" s="15"/>
      <c r="D314" s="16"/>
      <c r="E314" s="14"/>
      <c r="F314" s="17"/>
      <c r="G314" s="20"/>
    </row>
    <row r="315" spans="1:8">
      <c r="A315" s="14" t="s">
        <v>266</v>
      </c>
      <c r="B315" s="14" t="s">
        <v>267</v>
      </c>
      <c r="C315" s="15">
        <v>0</v>
      </c>
      <c r="D315" s="16" t="s">
        <v>35</v>
      </c>
      <c r="E315" s="14"/>
      <c r="F315" s="17" t="s">
        <v>35</v>
      </c>
      <c r="G315" s="20">
        <v>8000</v>
      </c>
    </row>
    <row r="316" spans="1:8">
      <c r="A316" s="14"/>
      <c r="B316" s="14"/>
      <c r="C316" s="15"/>
      <c r="D316" s="16"/>
      <c r="E316" s="14"/>
      <c r="F316" s="17"/>
      <c r="G316" s="20"/>
    </row>
    <row r="317" spans="1:8">
      <c r="A317" s="14" t="s">
        <v>268</v>
      </c>
      <c r="B317" s="14" t="s">
        <v>269</v>
      </c>
      <c r="C317" s="15">
        <v>0</v>
      </c>
      <c r="D317" s="16" t="s">
        <v>35</v>
      </c>
      <c r="E317" s="14"/>
      <c r="F317" s="17" t="s">
        <v>35</v>
      </c>
      <c r="G317" s="20">
        <v>30000</v>
      </c>
    </row>
    <row r="318" spans="1:8">
      <c r="A318" s="14"/>
      <c r="B318" s="14"/>
      <c r="C318" s="15"/>
      <c r="D318" s="16"/>
      <c r="E318" s="14"/>
      <c r="F318" s="17"/>
      <c r="G318" s="20"/>
    </row>
    <row r="319" spans="1:8">
      <c r="A319" s="21"/>
      <c r="B319" s="5"/>
      <c r="C319" s="30"/>
      <c r="D319" s="7"/>
      <c r="E319" s="5"/>
      <c r="F319" s="8" t="s">
        <v>270</v>
      </c>
      <c r="G319" s="20">
        <f>G317+G315+G313+G311+G302+G300+G298+G296+G294+G292+G290+G287+G282+G279+G277+G275+G267+G258</f>
        <v>1191651</v>
      </c>
      <c r="H319" s="1" t="s">
        <v>271</v>
      </c>
    </row>
    <row r="320" spans="1:8">
      <c r="A320" s="14"/>
      <c r="B320" s="14"/>
      <c r="C320" s="15"/>
      <c r="D320" s="16"/>
      <c r="E320" s="14"/>
      <c r="F320" s="17"/>
      <c r="G320" s="18"/>
    </row>
    <row r="321" spans="1:7">
      <c r="A321" s="14" t="s">
        <v>272</v>
      </c>
      <c r="B321" s="14" t="s">
        <v>273</v>
      </c>
      <c r="C321" s="15">
        <v>1</v>
      </c>
      <c r="D321" s="16">
        <v>6687</v>
      </c>
      <c r="E321" s="14"/>
      <c r="F321" s="17" t="s">
        <v>274</v>
      </c>
      <c r="G321" s="18">
        <v>63367</v>
      </c>
    </row>
    <row r="322" spans="1:7">
      <c r="A322" s="14" t="s">
        <v>272</v>
      </c>
      <c r="B322" s="14" t="s">
        <v>273</v>
      </c>
      <c r="C322" s="15">
        <v>1</v>
      </c>
      <c r="D322" s="16">
        <v>4035</v>
      </c>
      <c r="E322" s="14"/>
      <c r="F322" s="17" t="s">
        <v>275</v>
      </c>
      <c r="G322" s="18">
        <v>76275</v>
      </c>
    </row>
    <row r="323" spans="1:7">
      <c r="A323" s="14" t="s">
        <v>272</v>
      </c>
      <c r="B323" s="14" t="s">
        <v>273</v>
      </c>
      <c r="C323" s="15">
        <v>0</v>
      </c>
      <c r="D323" s="16" t="s">
        <v>35</v>
      </c>
      <c r="E323" s="14"/>
      <c r="F323" s="17"/>
      <c r="G323" s="19">
        <v>0</v>
      </c>
    </row>
    <row r="324" spans="1:7">
      <c r="A324" s="14"/>
      <c r="B324" s="14"/>
      <c r="C324" s="15"/>
      <c r="D324" s="16"/>
      <c r="E324" s="14"/>
      <c r="F324" s="17"/>
      <c r="G324" s="20">
        <f>SUM(G321:G323)</f>
        <v>139642</v>
      </c>
    </row>
    <row r="325" spans="1:7">
      <c r="A325" s="14"/>
      <c r="B325" s="14"/>
      <c r="C325" s="15"/>
      <c r="D325" s="16"/>
      <c r="E325" s="14"/>
      <c r="F325" s="17"/>
      <c r="G325" s="18"/>
    </row>
    <row r="326" spans="1:7">
      <c r="A326" s="14" t="s">
        <v>276</v>
      </c>
      <c r="B326" s="14" t="s">
        <v>273</v>
      </c>
      <c r="C326" s="15">
        <v>1</v>
      </c>
      <c r="D326" s="16">
        <v>4500</v>
      </c>
      <c r="E326" s="14"/>
      <c r="F326" s="17" t="s">
        <v>277</v>
      </c>
      <c r="G326" s="18">
        <v>76275</v>
      </c>
    </row>
    <row r="327" spans="1:7">
      <c r="A327" s="14" t="s">
        <v>276</v>
      </c>
      <c r="B327" s="14" t="s">
        <v>273</v>
      </c>
      <c r="C327" s="15">
        <v>1</v>
      </c>
      <c r="D327" s="16">
        <v>5925</v>
      </c>
      <c r="E327" s="14"/>
      <c r="F327" s="17" t="s">
        <v>278</v>
      </c>
      <c r="G327" s="18">
        <v>73175</v>
      </c>
    </row>
    <row r="328" spans="1:7">
      <c r="A328" s="14" t="s">
        <v>276</v>
      </c>
      <c r="B328" s="14" t="s">
        <v>273</v>
      </c>
      <c r="C328" s="15">
        <v>0</v>
      </c>
      <c r="D328" s="16" t="s">
        <v>35</v>
      </c>
      <c r="E328" s="14"/>
      <c r="F328" s="17"/>
      <c r="G328" s="19">
        <v>0</v>
      </c>
    </row>
    <row r="329" spans="1:7">
      <c r="A329" s="14"/>
      <c r="B329" s="14"/>
      <c r="C329" s="15"/>
      <c r="D329" s="16"/>
      <c r="E329" s="14"/>
      <c r="F329" s="17"/>
      <c r="G329" s="20">
        <f>SUM(G326:G328)</f>
        <v>149450</v>
      </c>
    </row>
    <row r="330" spans="1:7">
      <c r="A330" s="14"/>
      <c r="B330" s="14"/>
      <c r="C330" s="15"/>
      <c r="D330" s="16"/>
      <c r="E330" s="14"/>
      <c r="F330" s="17"/>
      <c r="G330" s="20"/>
    </row>
    <row r="331" spans="1:7">
      <c r="A331" s="14" t="s">
        <v>279</v>
      </c>
      <c r="B331" s="14" t="s">
        <v>280</v>
      </c>
      <c r="C331" s="15">
        <v>0</v>
      </c>
      <c r="D331" s="16" t="s">
        <v>35</v>
      </c>
      <c r="E331" s="14"/>
      <c r="F331" s="17" t="s">
        <v>35</v>
      </c>
      <c r="G331" s="20">
        <v>12000</v>
      </c>
    </row>
    <row r="332" spans="1:7">
      <c r="A332" s="14"/>
      <c r="B332" s="14"/>
      <c r="C332" s="15"/>
      <c r="D332" s="16"/>
      <c r="E332" s="14"/>
      <c r="F332" s="17"/>
      <c r="G332" s="20"/>
    </row>
    <row r="333" spans="1:7">
      <c r="A333" s="14" t="s">
        <v>281</v>
      </c>
      <c r="B333" s="14" t="s">
        <v>282</v>
      </c>
      <c r="C333" s="15">
        <v>0</v>
      </c>
      <c r="D333" s="16" t="s">
        <v>35</v>
      </c>
      <c r="E333" s="14"/>
      <c r="F333" s="17" t="s">
        <v>35</v>
      </c>
      <c r="G333" s="20">
        <v>12000</v>
      </c>
    </row>
    <row r="334" spans="1:7">
      <c r="A334" s="14"/>
      <c r="B334" s="14"/>
      <c r="C334" s="15"/>
      <c r="D334" s="16"/>
      <c r="E334" s="14"/>
      <c r="F334" s="17"/>
      <c r="G334" s="20"/>
    </row>
    <row r="335" spans="1:7">
      <c r="A335" s="14" t="s">
        <v>283</v>
      </c>
      <c r="B335" s="14" t="s">
        <v>284</v>
      </c>
      <c r="C335" s="15">
        <v>0</v>
      </c>
      <c r="D335" s="16" t="s">
        <v>35</v>
      </c>
      <c r="E335" s="14"/>
      <c r="F335" s="17" t="s">
        <v>35</v>
      </c>
      <c r="G335" s="20">
        <v>2000</v>
      </c>
    </row>
    <row r="336" spans="1:7">
      <c r="A336" s="14"/>
      <c r="B336" s="14"/>
      <c r="C336" s="15"/>
      <c r="D336" s="16"/>
      <c r="E336" s="14"/>
      <c r="F336" s="17"/>
      <c r="G336" s="20"/>
    </row>
    <row r="337" spans="1:8">
      <c r="A337" s="14" t="s">
        <v>285</v>
      </c>
      <c r="B337" s="14" t="s">
        <v>284</v>
      </c>
      <c r="C337" s="15">
        <v>0</v>
      </c>
      <c r="D337" s="16" t="s">
        <v>35</v>
      </c>
      <c r="E337" s="14"/>
      <c r="F337" s="17" t="s">
        <v>35</v>
      </c>
      <c r="G337" s="20">
        <v>2000</v>
      </c>
    </row>
    <row r="338" spans="1:8">
      <c r="A338" s="14"/>
      <c r="B338" s="14"/>
      <c r="C338" s="15"/>
      <c r="D338" s="16"/>
      <c r="E338" s="14"/>
      <c r="F338" s="17"/>
      <c r="G338" s="20"/>
    </row>
    <row r="339" spans="1:8">
      <c r="A339" s="14" t="s">
        <v>286</v>
      </c>
      <c r="B339" s="14" t="s">
        <v>287</v>
      </c>
      <c r="C339" s="15">
        <v>0</v>
      </c>
      <c r="D339" s="16" t="s">
        <v>35</v>
      </c>
      <c r="E339" s="14"/>
      <c r="F339" s="17" t="s">
        <v>35</v>
      </c>
      <c r="G339" s="20">
        <v>10000</v>
      </c>
    </row>
    <row r="340" spans="1:8">
      <c r="A340" s="14"/>
      <c r="B340" s="14"/>
      <c r="C340" s="15"/>
      <c r="D340" s="16"/>
      <c r="E340" s="14"/>
      <c r="F340" s="17"/>
      <c r="G340" s="20"/>
    </row>
    <row r="341" spans="1:8">
      <c r="A341" s="14" t="s">
        <v>288</v>
      </c>
      <c r="B341" s="14" t="s">
        <v>289</v>
      </c>
      <c r="C341" s="15">
        <v>0</v>
      </c>
      <c r="D341" s="16" t="s">
        <v>35</v>
      </c>
      <c r="E341" s="14"/>
      <c r="F341" s="17" t="s">
        <v>35</v>
      </c>
      <c r="G341" s="20">
        <v>10000</v>
      </c>
    </row>
    <row r="342" spans="1:8">
      <c r="A342" s="14"/>
      <c r="B342" s="14"/>
      <c r="C342" s="15"/>
      <c r="D342" s="16"/>
      <c r="E342" s="14"/>
      <c r="F342" s="17"/>
      <c r="G342" s="20"/>
    </row>
    <row r="343" spans="1:8">
      <c r="A343" s="21"/>
      <c r="B343" s="5"/>
      <c r="C343" s="30"/>
      <c r="D343" s="7"/>
      <c r="E343" s="5"/>
      <c r="F343" s="8" t="s">
        <v>290</v>
      </c>
      <c r="G343" s="20">
        <f>G324+G329+G331+G333+G335+G337+G339+G341</f>
        <v>337092</v>
      </c>
      <c r="H343" s="1" t="s">
        <v>291</v>
      </c>
    </row>
    <row r="344" spans="1:8">
      <c r="A344" s="14"/>
      <c r="B344" s="14"/>
      <c r="C344" s="15"/>
      <c r="D344" s="16"/>
      <c r="E344" s="14"/>
      <c r="F344" s="17"/>
      <c r="G344" s="20"/>
    </row>
    <row r="345" spans="1:8">
      <c r="A345" s="14" t="s">
        <v>292</v>
      </c>
      <c r="B345" s="14" t="s">
        <v>293</v>
      </c>
      <c r="C345" s="15">
        <v>0</v>
      </c>
      <c r="D345" s="16" t="s">
        <v>35</v>
      </c>
      <c r="E345" s="14"/>
      <c r="F345" s="17" t="s">
        <v>35</v>
      </c>
      <c r="G345" s="20">
        <v>5000</v>
      </c>
    </row>
    <row r="346" spans="1:8">
      <c r="A346" s="14"/>
      <c r="B346" s="14"/>
      <c r="C346" s="15"/>
      <c r="D346" s="16"/>
      <c r="E346" s="14"/>
      <c r="F346" s="17"/>
      <c r="G346" s="20"/>
    </row>
    <row r="347" spans="1:8">
      <c r="A347" s="14"/>
      <c r="B347" s="14"/>
      <c r="C347" s="15"/>
      <c r="D347" s="16"/>
      <c r="E347" s="14"/>
      <c r="F347" s="17"/>
      <c r="G347" s="18"/>
    </row>
    <row r="348" spans="1:8">
      <c r="A348" s="14" t="s">
        <v>294</v>
      </c>
      <c r="B348" s="14" t="s">
        <v>295</v>
      </c>
      <c r="C348" s="15">
        <v>0.85</v>
      </c>
      <c r="D348" s="16">
        <v>6048</v>
      </c>
      <c r="E348" s="14"/>
      <c r="F348" s="17" t="s">
        <v>296</v>
      </c>
      <c r="G348" s="18">
        <v>25390</v>
      </c>
    </row>
    <row r="349" spans="1:8">
      <c r="A349" s="14" t="s">
        <v>294</v>
      </c>
      <c r="B349" s="14" t="s">
        <v>295</v>
      </c>
      <c r="C349" s="15">
        <v>0.85</v>
      </c>
      <c r="D349" s="16">
        <v>6821</v>
      </c>
      <c r="E349" s="14"/>
      <c r="F349" s="17" t="s">
        <v>297</v>
      </c>
      <c r="G349" s="18">
        <v>24752</v>
      </c>
    </row>
    <row r="350" spans="1:8">
      <c r="A350" s="14" t="s">
        <v>294</v>
      </c>
      <c r="B350" s="14" t="s">
        <v>295</v>
      </c>
      <c r="C350" s="15">
        <v>0.85</v>
      </c>
      <c r="D350" s="16">
        <v>6275</v>
      </c>
      <c r="E350" s="14"/>
      <c r="F350" s="17" t="s">
        <v>298</v>
      </c>
      <c r="G350" s="18">
        <v>25390</v>
      </c>
    </row>
    <row r="351" spans="1:8">
      <c r="A351" s="14" t="s">
        <v>294</v>
      </c>
      <c r="B351" s="14" t="s">
        <v>295</v>
      </c>
      <c r="C351" s="15">
        <v>0.43</v>
      </c>
      <c r="D351" s="16">
        <v>6400</v>
      </c>
      <c r="E351" s="14"/>
      <c r="F351" s="17" t="s">
        <v>299</v>
      </c>
      <c r="G351" s="18">
        <v>12844</v>
      </c>
    </row>
    <row r="352" spans="1:8">
      <c r="A352" s="14" t="s">
        <v>294</v>
      </c>
      <c r="B352" s="14" t="s">
        <v>295</v>
      </c>
      <c r="C352" s="15">
        <v>0.85</v>
      </c>
      <c r="D352" s="16">
        <v>6224</v>
      </c>
      <c r="E352" s="14"/>
      <c r="F352" s="17" t="s">
        <v>300</v>
      </c>
      <c r="G352" s="18">
        <v>25390</v>
      </c>
    </row>
    <row r="353" spans="1:7">
      <c r="A353" s="14" t="s">
        <v>294</v>
      </c>
      <c r="B353" s="14" t="s">
        <v>295</v>
      </c>
      <c r="C353" s="15">
        <v>0.85</v>
      </c>
      <c r="D353" s="16">
        <v>6459</v>
      </c>
      <c r="E353" s="14"/>
      <c r="F353" s="17" t="s">
        <v>301</v>
      </c>
      <c r="G353" s="18">
        <v>25390</v>
      </c>
    </row>
    <row r="354" spans="1:7">
      <c r="A354" s="14" t="s">
        <v>294</v>
      </c>
      <c r="B354" s="14" t="s">
        <v>295</v>
      </c>
      <c r="C354" s="15">
        <v>0.85</v>
      </c>
      <c r="D354" s="16">
        <v>7002</v>
      </c>
      <c r="E354" s="14"/>
      <c r="F354" s="17" t="s">
        <v>302</v>
      </c>
      <c r="G354" s="18">
        <v>25390</v>
      </c>
    </row>
    <row r="355" spans="1:7">
      <c r="A355" s="14" t="s">
        <v>294</v>
      </c>
      <c r="B355" s="14" t="s">
        <v>295</v>
      </c>
      <c r="C355" s="15">
        <v>0.85</v>
      </c>
      <c r="D355" s="16">
        <v>5818</v>
      </c>
      <c r="E355" s="14"/>
      <c r="F355" s="17" t="s">
        <v>303</v>
      </c>
      <c r="G355" s="18">
        <v>27663</v>
      </c>
    </row>
    <row r="356" spans="1:7">
      <c r="A356" s="14" t="s">
        <v>294</v>
      </c>
      <c r="B356" s="14" t="s">
        <v>295</v>
      </c>
      <c r="C356" s="15">
        <v>0.85</v>
      </c>
      <c r="D356" s="16">
        <v>6787</v>
      </c>
      <c r="E356" s="14"/>
      <c r="F356" s="17" t="s">
        <v>304</v>
      </c>
      <c r="G356" s="18">
        <v>25390</v>
      </c>
    </row>
    <row r="357" spans="1:7">
      <c r="A357" s="14" t="s">
        <v>294</v>
      </c>
      <c r="B357" s="14" t="s">
        <v>295</v>
      </c>
      <c r="C357" s="15">
        <v>0.85</v>
      </c>
      <c r="D357" s="16">
        <v>6266</v>
      </c>
      <c r="E357" s="14"/>
      <c r="F357" s="17" t="s">
        <v>305</v>
      </c>
      <c r="G357" s="18">
        <v>25390</v>
      </c>
    </row>
    <row r="358" spans="1:7">
      <c r="A358" s="14" t="s">
        <v>294</v>
      </c>
      <c r="B358" s="14" t="s">
        <v>295</v>
      </c>
      <c r="C358" s="15">
        <v>0.85</v>
      </c>
      <c r="D358" s="16">
        <v>6988</v>
      </c>
      <c r="E358" s="14"/>
      <c r="F358" s="17" t="s">
        <v>306</v>
      </c>
      <c r="G358" s="18">
        <v>25390</v>
      </c>
    </row>
    <row r="359" spans="1:7">
      <c r="A359" s="14" t="s">
        <v>294</v>
      </c>
      <c r="B359" s="14" t="s">
        <v>295</v>
      </c>
      <c r="C359" s="15">
        <v>1</v>
      </c>
      <c r="D359" s="16">
        <v>4868</v>
      </c>
      <c r="E359" s="14"/>
      <c r="F359" s="17" t="s">
        <v>307</v>
      </c>
      <c r="G359" s="18">
        <v>31420</v>
      </c>
    </row>
    <row r="360" spans="1:7">
      <c r="A360" s="14" t="s">
        <v>294</v>
      </c>
      <c r="B360" s="14" t="s">
        <v>295</v>
      </c>
      <c r="C360" s="15">
        <v>0.85</v>
      </c>
      <c r="D360" s="16">
        <v>6407</v>
      </c>
      <c r="E360" s="14"/>
      <c r="F360" s="17" t="s">
        <v>308</v>
      </c>
      <c r="G360" s="18">
        <v>25390</v>
      </c>
    </row>
    <row r="361" spans="1:7">
      <c r="A361" s="14" t="s">
        <v>294</v>
      </c>
      <c r="B361" s="14" t="s">
        <v>295</v>
      </c>
      <c r="C361" s="15">
        <v>0.85</v>
      </c>
      <c r="D361" s="16">
        <v>6532</v>
      </c>
      <c r="E361" s="14"/>
      <c r="F361" s="17" t="s">
        <v>309</v>
      </c>
      <c r="G361" s="18">
        <v>25390</v>
      </c>
    </row>
    <row r="362" spans="1:7">
      <c r="A362" s="14" t="s">
        <v>294</v>
      </c>
      <c r="B362" s="14" t="s">
        <v>295</v>
      </c>
      <c r="C362" s="15">
        <v>0.85</v>
      </c>
      <c r="D362" s="16">
        <v>6967</v>
      </c>
      <c r="E362" s="14"/>
      <c r="F362" s="17" t="s">
        <v>310</v>
      </c>
      <c r="G362" s="18">
        <v>25390</v>
      </c>
    </row>
    <row r="363" spans="1:7">
      <c r="A363" s="14" t="s">
        <v>294</v>
      </c>
      <c r="B363" s="14" t="s">
        <v>295</v>
      </c>
      <c r="C363" s="15">
        <v>0.85</v>
      </c>
      <c r="D363" s="16">
        <v>6782</v>
      </c>
      <c r="E363" s="14"/>
      <c r="F363" s="17" t="s">
        <v>311</v>
      </c>
      <c r="G363" s="18">
        <v>25390</v>
      </c>
    </row>
    <row r="364" spans="1:7">
      <c r="A364" s="14" t="s">
        <v>294</v>
      </c>
      <c r="B364" s="14" t="s">
        <v>295</v>
      </c>
      <c r="C364" s="15">
        <v>0</v>
      </c>
      <c r="D364" s="16" t="s">
        <v>35</v>
      </c>
      <c r="E364" s="14"/>
      <c r="F364" s="17" t="s">
        <v>35</v>
      </c>
      <c r="G364" s="18">
        <v>3200</v>
      </c>
    </row>
    <row r="365" spans="1:7">
      <c r="A365" s="14" t="s">
        <v>294</v>
      </c>
      <c r="B365" s="14" t="s">
        <v>295</v>
      </c>
      <c r="C365" s="15">
        <v>1</v>
      </c>
      <c r="D365" s="16">
        <v>6418</v>
      </c>
      <c r="E365" s="14"/>
      <c r="F365" s="17" t="s">
        <v>312</v>
      </c>
      <c r="G365" s="18">
        <v>104882</v>
      </c>
    </row>
    <row r="366" spans="1:7">
      <c r="A366" s="14" t="s">
        <v>294</v>
      </c>
      <c r="B366" s="14" t="s">
        <v>295</v>
      </c>
      <c r="C366" s="15">
        <v>0.85</v>
      </c>
      <c r="D366" s="16">
        <v>6783</v>
      </c>
      <c r="E366" s="14"/>
      <c r="F366" s="17" t="s">
        <v>313</v>
      </c>
      <c r="G366" s="19">
        <v>25390</v>
      </c>
    </row>
    <row r="367" spans="1:7">
      <c r="A367" s="14"/>
      <c r="B367" s="14"/>
      <c r="C367" s="15"/>
      <c r="D367" s="16"/>
      <c r="E367" s="14"/>
      <c r="F367" s="17"/>
      <c r="G367" s="20">
        <f>SUM(G348:G366)</f>
        <v>534831</v>
      </c>
    </row>
    <row r="368" spans="1:7">
      <c r="A368" s="14"/>
      <c r="B368" s="14"/>
      <c r="C368" s="15"/>
      <c r="D368" s="16"/>
      <c r="E368" s="14"/>
      <c r="F368" s="17"/>
      <c r="G368" s="20"/>
    </row>
    <row r="369" spans="1:8">
      <c r="A369" s="21"/>
      <c r="B369" s="5"/>
      <c r="C369" s="30"/>
      <c r="D369" s="7"/>
      <c r="E369" s="5"/>
      <c r="F369" s="8" t="s">
        <v>314</v>
      </c>
      <c r="G369" s="20">
        <f>G367+G345</f>
        <v>539831</v>
      </c>
      <c r="H369" s="1" t="s">
        <v>315</v>
      </c>
    </row>
    <row r="370" spans="1:8">
      <c r="A370" s="14"/>
      <c r="B370" s="14"/>
      <c r="C370" s="15"/>
      <c r="D370" s="16"/>
      <c r="E370" s="14"/>
      <c r="F370" s="17"/>
      <c r="G370" s="18"/>
    </row>
    <row r="371" spans="1:8">
      <c r="A371" s="14"/>
      <c r="B371" s="14"/>
      <c r="C371" s="15"/>
      <c r="D371" s="16"/>
      <c r="E371" s="14"/>
      <c r="F371" s="17"/>
      <c r="G371" s="18"/>
    </row>
    <row r="372" spans="1:8">
      <c r="A372" s="14" t="s">
        <v>316</v>
      </c>
      <c r="B372" s="14" t="s">
        <v>317</v>
      </c>
      <c r="C372" s="15">
        <v>1</v>
      </c>
      <c r="D372" s="16">
        <v>6730</v>
      </c>
      <c r="E372" s="14"/>
      <c r="F372" s="17" t="s">
        <v>318</v>
      </c>
      <c r="G372" s="18">
        <v>38429</v>
      </c>
    </row>
    <row r="373" spans="1:8">
      <c r="A373" s="14" t="s">
        <v>316</v>
      </c>
      <c r="B373" s="14" t="s">
        <v>317</v>
      </c>
      <c r="C373" s="15">
        <v>0</v>
      </c>
      <c r="D373" s="16" t="s">
        <v>35</v>
      </c>
      <c r="E373" s="14"/>
      <c r="F373" s="17"/>
      <c r="G373" s="18">
        <v>15000</v>
      </c>
    </row>
    <row r="374" spans="1:8">
      <c r="A374" s="14" t="s">
        <v>316</v>
      </c>
      <c r="B374" s="14" t="s">
        <v>317</v>
      </c>
      <c r="C374" s="15">
        <v>1</v>
      </c>
      <c r="D374" s="16">
        <v>6800</v>
      </c>
      <c r="E374" s="14"/>
      <c r="F374" s="17" t="s">
        <v>319</v>
      </c>
      <c r="G374" s="18">
        <v>37492</v>
      </c>
    </row>
    <row r="375" spans="1:8">
      <c r="A375" s="14" t="s">
        <v>316</v>
      </c>
      <c r="B375" s="14" t="s">
        <v>317</v>
      </c>
      <c r="C375" s="15">
        <v>0</v>
      </c>
      <c r="D375" s="16" t="s">
        <v>35</v>
      </c>
      <c r="E375" s="14"/>
      <c r="F375" s="17"/>
      <c r="G375" s="18">
        <v>4400</v>
      </c>
    </row>
    <row r="376" spans="1:8">
      <c r="A376" s="14" t="s">
        <v>316</v>
      </c>
      <c r="B376" s="14" t="s">
        <v>317</v>
      </c>
      <c r="C376" s="15">
        <v>1</v>
      </c>
      <c r="D376" s="16">
        <v>5908</v>
      </c>
      <c r="E376" s="14"/>
      <c r="F376" s="17" t="s">
        <v>320</v>
      </c>
      <c r="G376" s="19">
        <v>69921</v>
      </c>
    </row>
    <row r="377" spans="1:8">
      <c r="A377" s="14"/>
      <c r="B377" s="14"/>
      <c r="C377" s="15"/>
      <c r="D377" s="16"/>
      <c r="E377" s="14"/>
      <c r="F377" s="17"/>
      <c r="G377" s="20">
        <f>SUM(G372:G376)</f>
        <v>165242</v>
      </c>
      <c r="H377" s="1" t="s">
        <v>321</v>
      </c>
    </row>
    <row r="378" spans="1:8">
      <c r="A378" s="14"/>
      <c r="B378" s="14"/>
      <c r="C378" s="15"/>
      <c r="D378" s="16"/>
      <c r="E378" s="14"/>
      <c r="F378" s="17"/>
      <c r="G378" s="18"/>
    </row>
    <row r="379" spans="1:8">
      <c r="A379" s="14"/>
      <c r="B379" s="14"/>
      <c r="C379" s="15"/>
      <c r="D379" s="16"/>
      <c r="E379" s="14"/>
      <c r="F379" s="17"/>
      <c r="G379" s="18"/>
    </row>
    <row r="380" spans="1:8">
      <c r="A380" s="14" t="s">
        <v>322</v>
      </c>
      <c r="B380" s="14" t="s">
        <v>323</v>
      </c>
      <c r="C380" s="15">
        <v>1</v>
      </c>
      <c r="D380" s="16">
        <v>5277</v>
      </c>
      <c r="E380" s="14"/>
      <c r="F380" s="17" t="s">
        <v>324</v>
      </c>
      <c r="G380" s="18">
        <v>69680</v>
      </c>
    </row>
    <row r="381" spans="1:8">
      <c r="A381" s="14" t="s">
        <v>322</v>
      </c>
      <c r="B381" s="14" t="s">
        <v>323</v>
      </c>
      <c r="C381" s="15">
        <v>0</v>
      </c>
      <c r="D381" s="16" t="s">
        <v>35</v>
      </c>
      <c r="E381" s="14"/>
      <c r="F381" s="17"/>
      <c r="G381" s="18">
        <v>0</v>
      </c>
    </row>
    <row r="382" spans="1:8">
      <c r="A382" s="14"/>
      <c r="B382" s="14"/>
      <c r="C382" s="15">
        <v>0</v>
      </c>
      <c r="D382" s="16" t="s">
        <v>35</v>
      </c>
      <c r="E382" s="14"/>
      <c r="F382" s="17"/>
      <c r="G382" s="19">
        <v>85000</v>
      </c>
    </row>
    <row r="383" spans="1:8">
      <c r="A383" s="14"/>
      <c r="B383" s="14"/>
      <c r="C383" s="15"/>
      <c r="D383" s="16"/>
      <c r="E383" s="14"/>
      <c r="F383" s="17"/>
      <c r="G383" s="20">
        <f>SUM(G380:G382)</f>
        <v>154680</v>
      </c>
      <c r="H383" s="1" t="s">
        <v>325</v>
      </c>
    </row>
    <row r="384" spans="1:8">
      <c r="A384" s="14"/>
      <c r="B384" s="14"/>
      <c r="C384" s="15"/>
      <c r="D384" s="16"/>
      <c r="E384" s="14"/>
      <c r="F384" s="17"/>
      <c r="G384" s="18"/>
    </row>
    <row r="385" spans="1:7">
      <c r="A385" s="14"/>
      <c r="B385" s="14"/>
      <c r="C385" s="15"/>
      <c r="D385" s="16"/>
      <c r="E385" s="14"/>
      <c r="F385" s="17"/>
      <c r="G385" s="18"/>
    </row>
    <row r="386" spans="1:7">
      <c r="A386" s="14" t="s">
        <v>326</v>
      </c>
      <c r="B386" s="14" t="s">
        <v>327</v>
      </c>
      <c r="C386" s="15">
        <v>1</v>
      </c>
      <c r="D386" s="16">
        <v>6163</v>
      </c>
      <c r="E386" s="14"/>
      <c r="F386" s="17" t="s">
        <v>328</v>
      </c>
      <c r="G386" s="18">
        <v>85719</v>
      </c>
    </row>
    <row r="387" spans="1:7">
      <c r="A387" s="14" t="s">
        <v>326</v>
      </c>
      <c r="B387" s="14" t="s">
        <v>327</v>
      </c>
      <c r="C387" s="15">
        <v>1</v>
      </c>
      <c r="D387" s="16">
        <v>5587</v>
      </c>
      <c r="E387" s="14"/>
      <c r="F387" s="17" t="s">
        <v>329</v>
      </c>
      <c r="G387" s="18">
        <v>105379</v>
      </c>
    </row>
    <row r="388" spans="1:7">
      <c r="A388" s="14" t="s">
        <v>326</v>
      </c>
      <c r="B388" s="14" t="s">
        <v>327</v>
      </c>
      <c r="C388" s="15">
        <v>1</v>
      </c>
      <c r="D388" s="16" t="s">
        <v>35</v>
      </c>
      <c r="E388" s="14"/>
      <c r="F388" s="17" t="s">
        <v>330</v>
      </c>
      <c r="G388" s="18">
        <v>112711</v>
      </c>
    </row>
    <row r="389" spans="1:7">
      <c r="A389" s="14" t="s">
        <v>326</v>
      </c>
      <c r="B389" s="14" t="s">
        <v>327</v>
      </c>
      <c r="C389" s="15">
        <v>1</v>
      </c>
      <c r="D389" s="16">
        <v>5949</v>
      </c>
      <c r="E389" s="14"/>
      <c r="F389" s="17" t="s">
        <v>331</v>
      </c>
      <c r="G389" s="18">
        <v>67317</v>
      </c>
    </row>
    <row r="390" spans="1:7">
      <c r="A390" s="14" t="s">
        <v>326</v>
      </c>
      <c r="B390" s="14" t="s">
        <v>327</v>
      </c>
      <c r="C390" s="15">
        <v>1</v>
      </c>
      <c r="D390" s="16">
        <v>4027</v>
      </c>
      <c r="E390" s="14"/>
      <c r="F390" s="17" t="s">
        <v>332</v>
      </c>
      <c r="G390" s="18">
        <v>107154</v>
      </c>
    </row>
    <row r="391" spans="1:7">
      <c r="A391" s="14" t="s">
        <v>326</v>
      </c>
      <c r="B391" s="14" t="s">
        <v>327</v>
      </c>
      <c r="C391" s="15">
        <v>1</v>
      </c>
      <c r="D391" s="16">
        <v>6814</v>
      </c>
      <c r="E391" s="14"/>
      <c r="F391" s="17" t="s">
        <v>333</v>
      </c>
      <c r="G391" s="18">
        <v>100986</v>
      </c>
    </row>
    <row r="392" spans="1:7">
      <c r="A392" s="14" t="s">
        <v>326</v>
      </c>
      <c r="B392" s="14" t="s">
        <v>327</v>
      </c>
      <c r="C392" s="15">
        <v>1</v>
      </c>
      <c r="D392" s="16">
        <v>4047</v>
      </c>
      <c r="E392" s="14"/>
      <c r="F392" s="17" t="s">
        <v>334</v>
      </c>
      <c r="G392" s="18">
        <v>106654</v>
      </c>
    </row>
    <row r="393" spans="1:7">
      <c r="A393" s="14" t="s">
        <v>326</v>
      </c>
      <c r="B393" s="14" t="s">
        <v>327</v>
      </c>
      <c r="C393" s="15">
        <v>1</v>
      </c>
      <c r="D393" s="16">
        <v>5369</v>
      </c>
      <c r="E393" s="14"/>
      <c r="F393" s="17" t="s">
        <v>335</v>
      </c>
      <c r="G393" s="18">
        <v>87462</v>
      </c>
    </row>
    <row r="394" spans="1:7">
      <c r="A394" s="14" t="s">
        <v>326</v>
      </c>
      <c r="B394" s="14" t="s">
        <v>327</v>
      </c>
      <c r="C394" s="15">
        <v>1</v>
      </c>
      <c r="D394" s="16">
        <v>4049</v>
      </c>
      <c r="E394" s="14"/>
      <c r="F394" s="17" t="s">
        <v>336</v>
      </c>
      <c r="G394" s="18">
        <v>112711</v>
      </c>
    </row>
    <row r="395" spans="1:7">
      <c r="A395" s="14" t="s">
        <v>326</v>
      </c>
      <c r="B395" s="14" t="s">
        <v>327</v>
      </c>
      <c r="C395" s="15">
        <v>1</v>
      </c>
      <c r="D395" s="16">
        <v>5579</v>
      </c>
      <c r="E395" s="14"/>
      <c r="F395" s="17" t="s">
        <v>337</v>
      </c>
      <c r="G395" s="18">
        <v>81703</v>
      </c>
    </row>
    <row r="396" spans="1:7">
      <c r="A396" s="14" t="s">
        <v>326</v>
      </c>
      <c r="B396" s="14" t="s">
        <v>327</v>
      </c>
      <c r="C396" s="15">
        <v>1</v>
      </c>
      <c r="D396" s="16">
        <v>5768</v>
      </c>
      <c r="E396" s="14"/>
      <c r="F396" s="17" t="s">
        <v>338</v>
      </c>
      <c r="G396" s="18">
        <v>87447</v>
      </c>
    </row>
    <row r="397" spans="1:7">
      <c r="A397" s="14" t="s">
        <v>326</v>
      </c>
      <c r="B397" s="14" t="s">
        <v>327</v>
      </c>
      <c r="C397" s="15">
        <v>1</v>
      </c>
      <c r="D397" s="16">
        <v>6055</v>
      </c>
      <c r="E397" s="14"/>
      <c r="F397" s="17" t="s">
        <v>339</v>
      </c>
      <c r="G397" s="18">
        <v>77514</v>
      </c>
    </row>
    <row r="398" spans="1:7">
      <c r="A398" s="14" t="s">
        <v>326</v>
      </c>
      <c r="B398" s="14" t="s">
        <v>327</v>
      </c>
      <c r="C398" s="15">
        <v>1</v>
      </c>
      <c r="D398" s="16">
        <v>6022</v>
      </c>
      <c r="E398" s="14"/>
      <c r="F398" s="17" t="s">
        <v>340</v>
      </c>
      <c r="G398" s="18">
        <v>98486</v>
      </c>
    </row>
    <row r="399" spans="1:7">
      <c r="A399" s="14" t="s">
        <v>326</v>
      </c>
      <c r="B399" s="14" t="s">
        <v>327</v>
      </c>
      <c r="C399" s="15">
        <v>1</v>
      </c>
      <c r="D399" s="16">
        <v>6815</v>
      </c>
      <c r="E399" s="14"/>
      <c r="F399" s="17" t="s">
        <v>341</v>
      </c>
      <c r="G399" s="18">
        <v>66147</v>
      </c>
    </row>
    <row r="400" spans="1:7">
      <c r="A400" s="14" t="s">
        <v>326</v>
      </c>
      <c r="B400" s="14" t="s">
        <v>327</v>
      </c>
      <c r="C400" s="15">
        <v>1</v>
      </c>
      <c r="D400" s="16">
        <v>6856</v>
      </c>
      <c r="E400" s="14"/>
      <c r="F400" s="17" t="s">
        <v>342</v>
      </c>
      <c r="G400" s="18">
        <v>0</v>
      </c>
    </row>
    <row r="401" spans="1:7">
      <c r="A401" s="14" t="s">
        <v>326</v>
      </c>
      <c r="B401" s="14" t="s">
        <v>327</v>
      </c>
      <c r="C401" s="15">
        <v>1</v>
      </c>
      <c r="D401" s="16">
        <v>6946</v>
      </c>
      <c r="E401" s="14"/>
      <c r="F401" s="17" t="s">
        <v>343</v>
      </c>
      <c r="G401" s="18">
        <v>57062</v>
      </c>
    </row>
    <row r="402" spans="1:7">
      <c r="A402" s="14" t="s">
        <v>326</v>
      </c>
      <c r="B402" s="14" t="s">
        <v>327</v>
      </c>
      <c r="C402" s="15">
        <v>0.4</v>
      </c>
      <c r="D402" s="16">
        <v>4094</v>
      </c>
      <c r="E402" s="14"/>
      <c r="F402" s="17" t="s">
        <v>138</v>
      </c>
      <c r="G402" s="18">
        <v>58732.800000000003</v>
      </c>
    </row>
    <row r="403" spans="1:7">
      <c r="A403" s="14" t="s">
        <v>326</v>
      </c>
      <c r="B403" s="14" t="s">
        <v>327</v>
      </c>
      <c r="C403" s="15">
        <v>1</v>
      </c>
      <c r="D403" s="16">
        <v>4117</v>
      </c>
      <c r="E403" s="14"/>
      <c r="F403" s="17" t="s">
        <v>344</v>
      </c>
      <c r="G403" s="18">
        <v>112711</v>
      </c>
    </row>
    <row r="404" spans="1:7">
      <c r="A404" s="14" t="s">
        <v>326</v>
      </c>
      <c r="B404" s="14" t="s">
        <v>327</v>
      </c>
      <c r="C404" s="15">
        <v>1</v>
      </c>
      <c r="D404" s="16">
        <v>6499</v>
      </c>
      <c r="E404" s="14"/>
      <c r="F404" s="17" t="s">
        <v>345</v>
      </c>
      <c r="G404" s="18">
        <v>66147</v>
      </c>
    </row>
    <row r="405" spans="1:7">
      <c r="A405" s="14" t="s">
        <v>326</v>
      </c>
      <c r="B405" s="14" t="s">
        <v>327</v>
      </c>
      <c r="C405" s="15">
        <v>1</v>
      </c>
      <c r="D405" s="16">
        <v>5662</v>
      </c>
      <c r="E405" s="14"/>
      <c r="F405" s="17" t="s">
        <v>346</v>
      </c>
      <c r="G405" s="18">
        <v>106936</v>
      </c>
    </row>
    <row r="406" spans="1:7">
      <c r="A406" s="14" t="s">
        <v>326</v>
      </c>
      <c r="B406" s="14" t="s">
        <v>327</v>
      </c>
      <c r="C406" s="15">
        <v>1</v>
      </c>
      <c r="D406" s="16">
        <v>6512</v>
      </c>
      <c r="E406" s="14"/>
      <c r="F406" s="17" t="s">
        <v>347</v>
      </c>
      <c r="G406" s="18">
        <v>68568</v>
      </c>
    </row>
    <row r="407" spans="1:7">
      <c r="A407" s="14" t="s">
        <v>326</v>
      </c>
      <c r="B407" s="14" t="s">
        <v>327</v>
      </c>
      <c r="C407" s="15">
        <v>1</v>
      </c>
      <c r="D407" s="16">
        <v>6622</v>
      </c>
      <c r="E407" s="14"/>
      <c r="F407" s="17" t="s">
        <v>348</v>
      </c>
      <c r="G407" s="18">
        <v>68637</v>
      </c>
    </row>
    <row r="408" spans="1:7">
      <c r="A408" s="14" t="s">
        <v>326</v>
      </c>
      <c r="B408" s="14" t="s">
        <v>327</v>
      </c>
      <c r="C408" s="15">
        <v>1</v>
      </c>
      <c r="D408" s="16">
        <v>6100</v>
      </c>
      <c r="E408" s="14"/>
      <c r="F408" s="17" t="s">
        <v>349</v>
      </c>
      <c r="G408" s="18">
        <v>73403</v>
      </c>
    </row>
    <row r="409" spans="1:7">
      <c r="A409" s="14" t="s">
        <v>326</v>
      </c>
      <c r="B409" s="14" t="s">
        <v>327</v>
      </c>
      <c r="C409" s="15">
        <v>0.4</v>
      </c>
      <c r="D409" s="16">
        <v>5910</v>
      </c>
      <c r="E409" s="14"/>
      <c r="F409" s="17" t="s">
        <v>139</v>
      </c>
      <c r="G409" s="18">
        <v>56092.800000000003</v>
      </c>
    </row>
    <row r="410" spans="1:7">
      <c r="A410" s="14"/>
      <c r="B410" s="14" t="s">
        <v>327</v>
      </c>
      <c r="C410" s="15">
        <v>1</v>
      </c>
      <c r="D410" s="16"/>
      <c r="E410" s="14"/>
      <c r="F410" s="17"/>
      <c r="G410" s="18">
        <v>60222</v>
      </c>
    </row>
    <row r="411" spans="1:7">
      <c r="A411" s="14" t="s">
        <v>326</v>
      </c>
      <c r="B411" s="14" t="s">
        <v>327</v>
      </c>
      <c r="C411" s="15">
        <v>1</v>
      </c>
      <c r="D411" s="16">
        <v>5674</v>
      </c>
      <c r="E411" s="14"/>
      <c r="F411" s="17" t="s">
        <v>350</v>
      </c>
      <c r="G411" s="18">
        <v>75609</v>
      </c>
    </row>
    <row r="412" spans="1:7">
      <c r="A412" s="14" t="s">
        <v>326</v>
      </c>
      <c r="B412" s="14" t="s">
        <v>327</v>
      </c>
      <c r="C412" s="15">
        <v>1</v>
      </c>
      <c r="D412" s="16">
        <v>6677</v>
      </c>
      <c r="E412" s="14"/>
      <c r="F412" s="17" t="s">
        <v>351</v>
      </c>
      <c r="G412" s="18">
        <v>71843</v>
      </c>
    </row>
    <row r="413" spans="1:7">
      <c r="A413" s="14" t="s">
        <v>326</v>
      </c>
      <c r="B413" s="14" t="s">
        <v>327</v>
      </c>
      <c r="C413" s="15">
        <v>1</v>
      </c>
      <c r="D413" s="16">
        <v>5782</v>
      </c>
      <c r="E413" s="14"/>
      <c r="F413" s="17" t="s">
        <v>352</v>
      </c>
      <c r="G413" s="18">
        <v>68568</v>
      </c>
    </row>
    <row r="414" spans="1:7">
      <c r="A414" s="14" t="s">
        <v>326</v>
      </c>
      <c r="B414" s="14" t="s">
        <v>327</v>
      </c>
      <c r="C414" s="15">
        <v>1</v>
      </c>
      <c r="D414" s="16">
        <v>5580</v>
      </c>
      <c r="E414" s="14"/>
      <c r="F414" s="17" t="s">
        <v>353</v>
      </c>
      <c r="G414" s="18">
        <v>103486</v>
      </c>
    </row>
    <row r="415" spans="1:7">
      <c r="A415" s="14" t="s">
        <v>326</v>
      </c>
      <c r="B415" s="14" t="s">
        <v>327</v>
      </c>
      <c r="C415" s="15">
        <v>0.8</v>
      </c>
      <c r="D415" s="16">
        <v>6248</v>
      </c>
      <c r="E415" s="14"/>
      <c r="F415" s="17" t="s">
        <v>354</v>
      </c>
      <c r="G415" s="18">
        <v>54854</v>
      </c>
    </row>
    <row r="416" spans="1:7">
      <c r="A416" s="14" t="s">
        <v>326</v>
      </c>
      <c r="B416" s="14" t="s">
        <v>327</v>
      </c>
      <c r="C416" s="15">
        <v>0.8</v>
      </c>
      <c r="D416" s="16">
        <v>4194</v>
      </c>
      <c r="E416" s="14"/>
      <c r="F416" s="17" t="s">
        <v>355</v>
      </c>
      <c r="G416" s="18">
        <v>74509.600000000006</v>
      </c>
    </row>
    <row r="417" spans="1:8">
      <c r="A417" s="14" t="s">
        <v>326</v>
      </c>
      <c r="B417" s="14" t="s">
        <v>327</v>
      </c>
      <c r="C417" s="15">
        <v>1</v>
      </c>
      <c r="D417" s="16">
        <v>6606</v>
      </c>
      <c r="E417" s="14"/>
      <c r="F417" s="17" t="s">
        <v>356</v>
      </c>
      <c r="G417" s="18">
        <v>60222</v>
      </c>
    </row>
    <row r="418" spans="1:8">
      <c r="A418" s="14" t="s">
        <v>326</v>
      </c>
      <c r="B418" s="14" t="s">
        <v>327</v>
      </c>
      <c r="C418" s="15">
        <v>1</v>
      </c>
      <c r="D418" s="16">
        <v>6766</v>
      </c>
      <c r="E418" s="14"/>
      <c r="F418" s="17" t="s">
        <v>357</v>
      </c>
      <c r="G418" s="18">
        <v>68821</v>
      </c>
    </row>
    <row r="419" spans="1:8">
      <c r="A419" s="14" t="s">
        <v>326</v>
      </c>
      <c r="B419" s="14" t="s">
        <v>327</v>
      </c>
      <c r="C419" s="15">
        <v>1</v>
      </c>
      <c r="D419" s="16">
        <v>5655</v>
      </c>
      <c r="E419" s="14"/>
      <c r="F419" s="17" t="s">
        <v>358</v>
      </c>
      <c r="G419" s="18">
        <v>70187</v>
      </c>
    </row>
    <row r="420" spans="1:8">
      <c r="A420" s="14" t="s">
        <v>326</v>
      </c>
      <c r="B420" s="14" t="s">
        <v>327</v>
      </c>
      <c r="C420" s="15">
        <v>1</v>
      </c>
      <c r="D420" s="16">
        <v>6667</v>
      </c>
      <c r="E420" s="14"/>
      <c r="F420" s="17" t="s">
        <v>359</v>
      </c>
      <c r="G420" s="18">
        <v>0</v>
      </c>
      <c r="H420" s="3" t="s">
        <v>360</v>
      </c>
    </row>
    <row r="421" spans="1:8">
      <c r="A421" s="14" t="s">
        <v>326</v>
      </c>
      <c r="B421" s="14" t="s">
        <v>327</v>
      </c>
      <c r="C421" s="15">
        <v>1</v>
      </c>
      <c r="D421" s="16">
        <v>5771</v>
      </c>
      <c r="E421" s="14"/>
      <c r="F421" s="17" t="s">
        <v>361</v>
      </c>
      <c r="G421" s="18">
        <v>106936</v>
      </c>
    </row>
    <row r="422" spans="1:8">
      <c r="A422" s="14"/>
      <c r="B422" s="14" t="s">
        <v>327</v>
      </c>
      <c r="C422" s="15">
        <v>1</v>
      </c>
      <c r="D422" s="16"/>
      <c r="E422" s="14"/>
      <c r="F422" s="17"/>
      <c r="G422" s="18">
        <v>56412</v>
      </c>
    </row>
    <row r="423" spans="1:8">
      <c r="A423" s="14" t="s">
        <v>326</v>
      </c>
      <c r="B423" s="14" t="s">
        <v>327</v>
      </c>
      <c r="C423" s="15">
        <v>1</v>
      </c>
      <c r="D423" s="16">
        <v>4263</v>
      </c>
      <c r="E423" s="14"/>
      <c r="F423" s="17" t="s">
        <v>362</v>
      </c>
      <c r="G423" s="18">
        <v>100087</v>
      </c>
    </row>
    <row r="424" spans="1:8">
      <c r="A424" s="14" t="s">
        <v>326</v>
      </c>
      <c r="B424" s="14" t="s">
        <v>327</v>
      </c>
      <c r="C424" s="15">
        <v>1</v>
      </c>
      <c r="D424" s="16">
        <v>4267</v>
      </c>
      <c r="E424" s="14"/>
      <c r="F424" s="17" t="s">
        <v>363</v>
      </c>
      <c r="G424" s="18">
        <v>113211</v>
      </c>
    </row>
    <row r="425" spans="1:8">
      <c r="A425" s="14" t="s">
        <v>326</v>
      </c>
      <c r="B425" s="14" t="s">
        <v>327</v>
      </c>
      <c r="C425" s="15">
        <v>1</v>
      </c>
      <c r="D425" s="16">
        <v>6655</v>
      </c>
      <c r="E425" s="14"/>
      <c r="F425" s="17" t="s">
        <v>364</v>
      </c>
      <c r="G425" s="18">
        <v>0</v>
      </c>
    </row>
    <row r="426" spans="1:8">
      <c r="A426" s="14" t="s">
        <v>326</v>
      </c>
      <c r="B426" s="14" t="s">
        <v>327</v>
      </c>
      <c r="C426" s="15">
        <v>1</v>
      </c>
      <c r="D426" s="16">
        <v>6065</v>
      </c>
      <c r="E426" s="14"/>
      <c r="F426" s="17" t="s">
        <v>365</v>
      </c>
      <c r="G426" s="18">
        <v>73403</v>
      </c>
    </row>
    <row r="427" spans="1:8">
      <c r="A427" s="14" t="s">
        <v>326</v>
      </c>
      <c r="B427" s="14" t="s">
        <v>327</v>
      </c>
      <c r="C427" s="15">
        <v>1</v>
      </c>
      <c r="D427" s="16">
        <v>6850</v>
      </c>
      <c r="E427" s="14"/>
      <c r="F427" s="17" t="s">
        <v>366</v>
      </c>
      <c r="G427" s="18">
        <v>61863</v>
      </c>
    </row>
    <row r="428" spans="1:8">
      <c r="A428" s="14" t="s">
        <v>326</v>
      </c>
      <c r="B428" s="14" t="s">
        <v>327</v>
      </c>
      <c r="C428" s="15">
        <v>0.4</v>
      </c>
      <c r="D428" s="16">
        <v>4285</v>
      </c>
      <c r="E428" s="14"/>
      <c r="F428" s="17" t="s">
        <v>140</v>
      </c>
      <c r="G428" s="18">
        <v>58732.800000000003</v>
      </c>
    </row>
    <row r="429" spans="1:8">
      <c r="A429" s="14" t="s">
        <v>326</v>
      </c>
      <c r="B429" s="14" t="s">
        <v>327</v>
      </c>
      <c r="C429" s="15">
        <v>1</v>
      </c>
      <c r="D429" s="16">
        <v>6777</v>
      </c>
      <c r="E429" s="14"/>
      <c r="F429" s="17" t="s">
        <v>367</v>
      </c>
      <c r="G429" s="18">
        <v>100726</v>
      </c>
    </row>
    <row r="430" spans="1:8">
      <c r="A430" s="14" t="s">
        <v>326</v>
      </c>
      <c r="B430" s="14" t="s">
        <v>327</v>
      </c>
      <c r="C430" s="15">
        <v>0.95</v>
      </c>
      <c r="D430" s="16">
        <v>6690</v>
      </c>
      <c r="E430" s="14"/>
      <c r="F430" s="17" t="s">
        <v>368</v>
      </c>
      <c r="G430" s="18">
        <v>82852</v>
      </c>
    </row>
    <row r="431" spans="1:8">
      <c r="A431" s="14" t="s">
        <v>326</v>
      </c>
      <c r="B431" s="14" t="s">
        <v>327</v>
      </c>
      <c r="C431" s="15">
        <v>1</v>
      </c>
      <c r="D431" s="16">
        <v>6594</v>
      </c>
      <c r="E431" s="14"/>
      <c r="F431" s="17" t="s">
        <v>369</v>
      </c>
      <c r="G431" s="18">
        <v>73248</v>
      </c>
    </row>
    <row r="432" spans="1:8">
      <c r="A432" s="14" t="s">
        <v>326</v>
      </c>
      <c r="B432" s="14" t="s">
        <v>327</v>
      </c>
      <c r="C432" s="15">
        <v>0.4</v>
      </c>
      <c r="D432" s="16">
        <v>4304</v>
      </c>
      <c r="E432" s="14"/>
      <c r="F432" s="17" t="s">
        <v>141</v>
      </c>
      <c r="G432" s="18">
        <v>58943.199999999997</v>
      </c>
    </row>
    <row r="433" spans="1:7">
      <c r="A433" s="14" t="s">
        <v>326</v>
      </c>
      <c r="B433" s="14" t="s">
        <v>327</v>
      </c>
      <c r="C433" s="15">
        <v>1</v>
      </c>
      <c r="D433" s="16">
        <v>6713</v>
      </c>
      <c r="E433" s="14"/>
      <c r="F433" s="17" t="s">
        <v>370</v>
      </c>
      <c r="G433" s="18">
        <v>98754</v>
      </c>
    </row>
    <row r="434" spans="1:7">
      <c r="A434" s="14" t="s">
        <v>326</v>
      </c>
      <c r="B434" s="14" t="s">
        <v>327</v>
      </c>
      <c r="C434" s="15">
        <v>1</v>
      </c>
      <c r="D434" s="16">
        <v>4446</v>
      </c>
      <c r="E434" s="14"/>
      <c r="F434" s="17" t="s">
        <v>371</v>
      </c>
      <c r="G434" s="18">
        <v>106654</v>
      </c>
    </row>
    <row r="435" spans="1:7">
      <c r="A435" s="14" t="s">
        <v>326</v>
      </c>
      <c r="B435" s="14" t="s">
        <v>327</v>
      </c>
      <c r="C435" s="15">
        <v>1</v>
      </c>
      <c r="D435" s="16">
        <v>5471</v>
      </c>
      <c r="E435" s="14"/>
      <c r="F435" s="17" t="s">
        <v>372</v>
      </c>
      <c r="G435" s="18">
        <v>93796</v>
      </c>
    </row>
    <row r="436" spans="1:7">
      <c r="A436" s="14" t="s">
        <v>326</v>
      </c>
      <c r="B436" s="14" t="s">
        <v>327</v>
      </c>
      <c r="C436" s="15">
        <v>1</v>
      </c>
      <c r="D436" s="16"/>
      <c r="E436" s="14"/>
      <c r="F436" s="17"/>
      <c r="G436" s="18">
        <v>23178</v>
      </c>
    </row>
    <row r="437" spans="1:7">
      <c r="A437" s="14" t="s">
        <v>326</v>
      </c>
      <c r="B437" s="14" t="s">
        <v>327</v>
      </c>
      <c r="C437" s="15">
        <v>0.6</v>
      </c>
      <c r="D437" s="16">
        <v>4779</v>
      </c>
      <c r="E437" s="14"/>
      <c r="F437" s="17" t="s">
        <v>373</v>
      </c>
      <c r="G437" s="18">
        <v>55933.2</v>
      </c>
    </row>
    <row r="438" spans="1:7">
      <c r="A438" s="14" t="s">
        <v>326</v>
      </c>
      <c r="B438" s="14" t="s">
        <v>327</v>
      </c>
      <c r="C438" s="15">
        <v>1</v>
      </c>
      <c r="D438" s="16">
        <v>4379</v>
      </c>
      <c r="E438" s="14"/>
      <c r="F438" s="17" t="s">
        <v>374</v>
      </c>
      <c r="G438" s="18">
        <v>106654</v>
      </c>
    </row>
    <row r="439" spans="1:7">
      <c r="A439" s="14" t="s">
        <v>326</v>
      </c>
      <c r="B439" s="14" t="s">
        <v>327</v>
      </c>
      <c r="C439" s="15">
        <v>1</v>
      </c>
      <c r="D439" s="16">
        <v>6031</v>
      </c>
      <c r="E439" s="14"/>
      <c r="F439" s="17" t="s">
        <v>375</v>
      </c>
      <c r="G439" s="18">
        <v>106936</v>
      </c>
    </row>
    <row r="440" spans="1:7">
      <c r="A440" s="14" t="s">
        <v>326</v>
      </c>
      <c r="B440" s="14" t="s">
        <v>327</v>
      </c>
      <c r="C440" s="15">
        <v>1</v>
      </c>
      <c r="D440" s="16">
        <v>6680</v>
      </c>
      <c r="E440" s="14"/>
      <c r="F440" s="17" t="s">
        <v>376</v>
      </c>
      <c r="G440" s="18">
        <v>69920</v>
      </c>
    </row>
    <row r="441" spans="1:7">
      <c r="A441" s="14" t="s">
        <v>326</v>
      </c>
      <c r="B441" s="14" t="s">
        <v>327</v>
      </c>
      <c r="C441" s="15">
        <v>1</v>
      </c>
      <c r="D441" s="16">
        <v>4389</v>
      </c>
      <c r="E441" s="14"/>
      <c r="F441" s="17" t="s">
        <v>377</v>
      </c>
      <c r="G441" s="18">
        <v>113711</v>
      </c>
    </row>
    <row r="442" spans="1:7">
      <c r="A442" s="14" t="s">
        <v>326</v>
      </c>
      <c r="B442" s="14" t="s">
        <v>327</v>
      </c>
      <c r="C442" s="15">
        <v>1</v>
      </c>
      <c r="D442" s="16">
        <v>5558</v>
      </c>
      <c r="E442" s="14"/>
      <c r="F442" s="17" t="s">
        <v>378</v>
      </c>
      <c r="G442" s="18">
        <v>115992</v>
      </c>
    </row>
    <row r="443" spans="1:7">
      <c r="A443" s="14" t="s">
        <v>326</v>
      </c>
      <c r="B443" s="14" t="s">
        <v>327</v>
      </c>
      <c r="C443" s="15">
        <v>1</v>
      </c>
      <c r="D443" s="16">
        <v>4396</v>
      </c>
      <c r="E443" s="14"/>
      <c r="F443" s="17" t="s">
        <v>379</v>
      </c>
      <c r="G443" s="18">
        <v>100087</v>
      </c>
    </row>
    <row r="444" spans="1:7">
      <c r="A444" s="14" t="s">
        <v>326</v>
      </c>
      <c r="B444" s="14" t="s">
        <v>327</v>
      </c>
      <c r="C444" s="15">
        <v>1</v>
      </c>
      <c r="D444" s="16">
        <v>6518</v>
      </c>
      <c r="E444" s="14"/>
      <c r="F444" s="17" t="s">
        <v>380</v>
      </c>
      <c r="G444" s="18">
        <v>94046</v>
      </c>
    </row>
    <row r="445" spans="1:7">
      <c r="A445" s="14" t="s">
        <v>326</v>
      </c>
      <c r="B445" s="14" t="s">
        <v>327</v>
      </c>
      <c r="C445" s="15">
        <v>1</v>
      </c>
      <c r="D445" s="16">
        <v>6761</v>
      </c>
      <c r="E445" s="14"/>
      <c r="F445" s="17" t="s">
        <v>381</v>
      </c>
      <c r="G445" s="18">
        <v>60022</v>
      </c>
    </row>
    <row r="446" spans="1:7">
      <c r="A446" s="14" t="s">
        <v>326</v>
      </c>
      <c r="B446" s="14" t="s">
        <v>327</v>
      </c>
      <c r="C446" s="15">
        <v>1</v>
      </c>
      <c r="D446" s="16">
        <v>6990</v>
      </c>
      <c r="E446" s="14"/>
      <c r="F446" s="17" t="s">
        <v>382</v>
      </c>
      <c r="G446" s="18">
        <v>77637</v>
      </c>
    </row>
    <row r="447" spans="1:7">
      <c r="A447" s="14" t="s">
        <v>326</v>
      </c>
      <c r="B447" s="14" t="s">
        <v>327</v>
      </c>
      <c r="C447" s="15">
        <v>1</v>
      </c>
      <c r="D447" s="16">
        <v>4442</v>
      </c>
      <c r="E447" s="14"/>
      <c r="F447" s="17" t="s">
        <v>383</v>
      </c>
      <c r="G447" s="18">
        <v>93912</v>
      </c>
    </row>
    <row r="448" spans="1:7">
      <c r="A448" s="14" t="s">
        <v>326</v>
      </c>
      <c r="B448" s="14" t="s">
        <v>327</v>
      </c>
      <c r="C448" s="15">
        <v>1</v>
      </c>
      <c r="D448" s="16">
        <v>6621</v>
      </c>
      <c r="E448" s="14"/>
      <c r="F448" s="17" t="s">
        <v>384</v>
      </c>
      <c r="G448" s="18">
        <v>73248</v>
      </c>
    </row>
    <row r="449" spans="1:7">
      <c r="A449" s="14" t="s">
        <v>326</v>
      </c>
      <c r="B449" s="14" t="s">
        <v>327</v>
      </c>
      <c r="C449" s="15">
        <v>1</v>
      </c>
      <c r="D449" s="16">
        <v>5474</v>
      </c>
      <c r="E449" s="14"/>
      <c r="F449" s="17" t="s">
        <v>385</v>
      </c>
      <c r="G449" s="18">
        <v>112711</v>
      </c>
    </row>
    <row r="450" spans="1:7">
      <c r="A450" s="14" t="s">
        <v>326</v>
      </c>
      <c r="B450" s="14" t="s">
        <v>327</v>
      </c>
      <c r="C450" s="15">
        <v>1</v>
      </c>
      <c r="D450" s="16">
        <v>6789</v>
      </c>
      <c r="E450" s="14"/>
      <c r="F450" s="17" t="s">
        <v>386</v>
      </c>
      <c r="G450" s="18">
        <v>107182</v>
      </c>
    </row>
    <row r="451" spans="1:7">
      <c r="A451" s="14" t="s">
        <v>326</v>
      </c>
      <c r="B451" s="14" t="s">
        <v>327</v>
      </c>
      <c r="C451" s="15">
        <v>1</v>
      </c>
      <c r="D451" s="16">
        <v>4459</v>
      </c>
      <c r="E451" s="14"/>
      <c r="F451" s="17" t="s">
        <v>387</v>
      </c>
      <c r="G451" s="18">
        <v>117267</v>
      </c>
    </row>
    <row r="452" spans="1:7">
      <c r="A452" s="14" t="s">
        <v>326</v>
      </c>
      <c r="B452" s="14" t="s">
        <v>327</v>
      </c>
      <c r="C452" s="15">
        <v>1</v>
      </c>
      <c r="D452" s="16">
        <v>6773</v>
      </c>
      <c r="E452" s="14"/>
      <c r="F452" s="17" t="s">
        <v>388</v>
      </c>
      <c r="G452" s="18">
        <v>91054</v>
      </c>
    </row>
    <row r="453" spans="1:7">
      <c r="A453" s="14" t="s">
        <v>326</v>
      </c>
      <c r="B453" s="14" t="s">
        <v>327</v>
      </c>
      <c r="C453" s="15">
        <v>1</v>
      </c>
      <c r="D453" s="16">
        <v>4470</v>
      </c>
      <c r="E453" s="14"/>
      <c r="F453" s="17" t="s">
        <v>389</v>
      </c>
      <c r="G453" s="18">
        <v>0</v>
      </c>
    </row>
    <row r="454" spans="1:7">
      <c r="A454" s="14" t="s">
        <v>326</v>
      </c>
      <c r="B454" s="14" t="s">
        <v>327</v>
      </c>
      <c r="C454" s="15">
        <v>1</v>
      </c>
      <c r="D454" s="16">
        <v>6059</v>
      </c>
      <c r="E454" s="14"/>
      <c r="F454" s="17" t="s">
        <v>390</v>
      </c>
      <c r="G454" s="18">
        <v>83529</v>
      </c>
    </row>
    <row r="455" spans="1:7">
      <c r="A455" s="14" t="s">
        <v>326</v>
      </c>
      <c r="B455" s="14" t="s">
        <v>327</v>
      </c>
      <c r="C455" s="15">
        <v>0.5</v>
      </c>
      <c r="D455" s="16">
        <v>6370</v>
      </c>
      <c r="E455" s="14"/>
      <c r="F455" s="17" t="s">
        <v>391</v>
      </c>
      <c r="G455" s="18">
        <v>38343</v>
      </c>
    </row>
    <row r="456" spans="1:7">
      <c r="A456" s="14" t="s">
        <v>326</v>
      </c>
      <c r="B456" s="14" t="s">
        <v>327</v>
      </c>
      <c r="C456" s="15">
        <v>1</v>
      </c>
      <c r="D456" s="16">
        <v>4487</v>
      </c>
      <c r="E456" s="14"/>
      <c r="F456" s="17" t="s">
        <v>392</v>
      </c>
      <c r="G456" s="18">
        <v>79473</v>
      </c>
    </row>
    <row r="457" spans="1:7">
      <c r="A457" s="14" t="s">
        <v>326</v>
      </c>
      <c r="B457" s="14" t="s">
        <v>327</v>
      </c>
      <c r="C457" s="15">
        <v>1</v>
      </c>
      <c r="D457" s="16">
        <v>6568</v>
      </c>
      <c r="E457" s="14"/>
      <c r="F457" s="17" t="s">
        <v>393</v>
      </c>
      <c r="G457" s="18">
        <v>0</v>
      </c>
    </row>
    <row r="458" spans="1:7">
      <c r="A458" s="14" t="s">
        <v>326</v>
      </c>
      <c r="B458" s="14" t="s">
        <v>327</v>
      </c>
      <c r="C458" s="15">
        <v>1</v>
      </c>
      <c r="D458" s="16">
        <v>4499</v>
      </c>
      <c r="E458" s="14"/>
      <c r="F458" s="17" t="s">
        <v>394</v>
      </c>
      <c r="G458" s="18">
        <v>104761</v>
      </c>
    </row>
    <row r="459" spans="1:7">
      <c r="A459" s="14" t="s">
        <v>326</v>
      </c>
      <c r="B459" s="14" t="s">
        <v>327</v>
      </c>
      <c r="C459" s="15">
        <v>1</v>
      </c>
      <c r="D459" s="16">
        <v>6439</v>
      </c>
      <c r="E459" s="14"/>
      <c r="F459" s="17" t="s">
        <v>395</v>
      </c>
      <c r="G459" s="18">
        <v>61863</v>
      </c>
    </row>
    <row r="460" spans="1:7">
      <c r="A460" s="14" t="s">
        <v>326</v>
      </c>
      <c r="B460" s="14" t="s">
        <v>327</v>
      </c>
      <c r="C460" s="15">
        <v>1</v>
      </c>
      <c r="D460" s="16">
        <v>6676</v>
      </c>
      <c r="E460" s="14"/>
      <c r="F460" s="17" t="s">
        <v>396</v>
      </c>
      <c r="G460" s="18">
        <v>63362</v>
      </c>
    </row>
    <row r="461" spans="1:7">
      <c r="A461" s="14" t="s">
        <v>326</v>
      </c>
      <c r="B461" s="14" t="s">
        <v>327</v>
      </c>
      <c r="C461" s="15">
        <v>1</v>
      </c>
      <c r="D461" s="16">
        <v>6537</v>
      </c>
      <c r="E461" s="14"/>
      <c r="F461" s="17" t="s">
        <v>397</v>
      </c>
      <c r="G461" s="18">
        <v>100986</v>
      </c>
    </row>
    <row r="462" spans="1:7">
      <c r="A462" s="14" t="s">
        <v>326</v>
      </c>
      <c r="B462" s="14" t="s">
        <v>327</v>
      </c>
      <c r="C462" s="15">
        <v>0</v>
      </c>
      <c r="D462" s="16" t="s">
        <v>35</v>
      </c>
      <c r="E462" s="14"/>
      <c r="F462" s="17" t="s">
        <v>398</v>
      </c>
      <c r="G462" s="18">
        <v>125000</v>
      </c>
    </row>
    <row r="463" spans="1:7">
      <c r="A463" s="14" t="s">
        <v>326</v>
      </c>
      <c r="B463" s="14" t="s">
        <v>327</v>
      </c>
      <c r="C463" s="15">
        <v>1</v>
      </c>
      <c r="D463" s="16">
        <v>5905</v>
      </c>
      <c r="E463" s="14"/>
      <c r="F463" s="17" t="s">
        <v>399</v>
      </c>
      <c r="G463" s="18">
        <v>73403</v>
      </c>
    </row>
    <row r="464" spans="1:7">
      <c r="A464" s="14" t="s">
        <v>326</v>
      </c>
      <c r="B464" s="14" t="s">
        <v>327</v>
      </c>
      <c r="C464" s="15">
        <v>1</v>
      </c>
      <c r="D464" s="16">
        <v>4518</v>
      </c>
      <c r="E464" s="14"/>
      <c r="F464" s="17" t="s">
        <v>400</v>
      </c>
      <c r="G464" s="18">
        <v>93912</v>
      </c>
    </row>
    <row r="465" spans="1:7">
      <c r="A465" s="14" t="s">
        <v>326</v>
      </c>
      <c r="B465" s="14" t="s">
        <v>327</v>
      </c>
      <c r="C465" s="15">
        <v>1</v>
      </c>
      <c r="D465" s="16">
        <v>4530</v>
      </c>
      <c r="E465" s="14"/>
      <c r="F465" s="17" t="s">
        <v>401</v>
      </c>
      <c r="G465" s="18">
        <v>117267</v>
      </c>
    </row>
    <row r="466" spans="1:7">
      <c r="A466" s="14" t="s">
        <v>326</v>
      </c>
      <c r="B466" s="14" t="s">
        <v>327</v>
      </c>
      <c r="C466" s="15">
        <v>1</v>
      </c>
      <c r="D466" s="16">
        <v>5475</v>
      </c>
      <c r="E466" s="14"/>
      <c r="F466" s="17" t="s">
        <v>402</v>
      </c>
      <c r="G466" s="18">
        <v>93796</v>
      </c>
    </row>
    <row r="467" spans="1:7">
      <c r="A467" s="14" t="s">
        <v>326</v>
      </c>
      <c r="B467" s="14" t="s">
        <v>327</v>
      </c>
      <c r="C467" s="15">
        <v>1</v>
      </c>
      <c r="D467" s="16">
        <v>4540</v>
      </c>
      <c r="E467" s="14"/>
      <c r="F467" s="17" t="s">
        <v>403</v>
      </c>
      <c r="G467" s="18">
        <v>90587</v>
      </c>
    </row>
    <row r="468" spans="1:7">
      <c r="A468" s="14" t="s">
        <v>326</v>
      </c>
      <c r="B468" s="14" t="s">
        <v>327</v>
      </c>
      <c r="C468" s="15">
        <v>1</v>
      </c>
      <c r="D468" s="16">
        <v>4548</v>
      </c>
      <c r="E468" s="14"/>
      <c r="F468" s="17" t="s">
        <v>404</v>
      </c>
      <c r="G468" s="18">
        <v>113711</v>
      </c>
    </row>
    <row r="469" spans="1:7">
      <c r="A469" s="14" t="s">
        <v>326</v>
      </c>
      <c r="B469" s="14" t="s">
        <v>327</v>
      </c>
      <c r="C469" s="15">
        <v>1</v>
      </c>
      <c r="D469" s="16">
        <v>6421</v>
      </c>
      <c r="E469" s="14"/>
      <c r="F469" s="17" t="s">
        <v>405</v>
      </c>
      <c r="G469" s="18">
        <v>87506</v>
      </c>
    </row>
    <row r="470" spans="1:7">
      <c r="A470" s="14" t="s">
        <v>326</v>
      </c>
      <c r="B470" s="14" t="s">
        <v>327</v>
      </c>
      <c r="C470" s="15">
        <v>1</v>
      </c>
      <c r="D470" s="16">
        <v>4555</v>
      </c>
      <c r="E470" s="14"/>
      <c r="F470" s="17" t="s">
        <v>406</v>
      </c>
      <c r="G470" s="18">
        <v>107154</v>
      </c>
    </row>
    <row r="471" spans="1:7">
      <c r="A471" s="14" t="s">
        <v>326</v>
      </c>
      <c r="B471" s="14" t="s">
        <v>327</v>
      </c>
      <c r="C471" s="15">
        <v>1</v>
      </c>
      <c r="D471" s="16">
        <v>4577</v>
      </c>
      <c r="E471" s="14"/>
      <c r="F471" s="17" t="s">
        <v>407</v>
      </c>
      <c r="G471" s="18">
        <v>97754</v>
      </c>
    </row>
    <row r="472" spans="1:7">
      <c r="A472" s="14" t="s">
        <v>326</v>
      </c>
      <c r="B472" s="14" t="s">
        <v>327</v>
      </c>
      <c r="C472" s="15">
        <v>1</v>
      </c>
      <c r="D472" s="16">
        <v>6262</v>
      </c>
      <c r="E472" s="14"/>
      <c r="F472" s="17" t="s">
        <v>408</v>
      </c>
      <c r="G472" s="18">
        <v>65945</v>
      </c>
    </row>
    <row r="473" spans="1:7">
      <c r="A473" s="14" t="s">
        <v>326</v>
      </c>
      <c r="B473" s="14" t="s">
        <v>327</v>
      </c>
      <c r="C473" s="15">
        <v>1</v>
      </c>
      <c r="D473" s="16">
        <v>4597</v>
      </c>
      <c r="E473" s="14"/>
      <c r="F473" s="17" t="s">
        <v>409</v>
      </c>
      <c r="G473" s="18">
        <v>106654</v>
      </c>
    </row>
    <row r="474" spans="1:7">
      <c r="A474" s="14" t="s">
        <v>326</v>
      </c>
      <c r="B474" s="14" t="s">
        <v>327</v>
      </c>
      <c r="C474" s="15">
        <v>1</v>
      </c>
      <c r="D474" s="16">
        <v>5786</v>
      </c>
      <c r="E474" s="14"/>
      <c r="F474" s="17" t="s">
        <v>410</v>
      </c>
      <c r="G474" s="18">
        <v>73468</v>
      </c>
    </row>
    <row r="475" spans="1:7">
      <c r="A475" s="14" t="s">
        <v>326</v>
      </c>
      <c r="B475" s="14" t="s">
        <v>327</v>
      </c>
      <c r="C475" s="15">
        <v>1</v>
      </c>
      <c r="D475" s="16">
        <v>5412</v>
      </c>
      <c r="E475" s="14"/>
      <c r="F475" s="17" t="s">
        <v>411</v>
      </c>
      <c r="G475" s="18">
        <v>88796</v>
      </c>
    </row>
    <row r="476" spans="1:7">
      <c r="A476" s="14" t="s">
        <v>326</v>
      </c>
      <c r="B476" s="14" t="s">
        <v>327</v>
      </c>
      <c r="C476" s="15">
        <v>1</v>
      </c>
      <c r="D476" s="16">
        <v>4612</v>
      </c>
      <c r="E476" s="14"/>
      <c r="F476" s="17" t="s">
        <v>412</v>
      </c>
      <c r="G476" s="18">
        <v>106654</v>
      </c>
    </row>
    <row r="477" spans="1:7">
      <c r="A477" s="14" t="s">
        <v>326</v>
      </c>
      <c r="B477" s="14" t="s">
        <v>327</v>
      </c>
      <c r="C477" s="15">
        <v>1</v>
      </c>
      <c r="D477" s="16">
        <v>6980</v>
      </c>
      <c r="E477" s="14"/>
      <c r="F477" s="17" t="s">
        <v>413</v>
      </c>
      <c r="G477" s="18">
        <v>65945</v>
      </c>
    </row>
    <row r="478" spans="1:7">
      <c r="A478" s="14" t="s">
        <v>326</v>
      </c>
      <c r="B478" s="14" t="s">
        <v>327</v>
      </c>
      <c r="C478" s="15">
        <v>1</v>
      </c>
      <c r="D478" s="16">
        <v>6242</v>
      </c>
      <c r="E478" s="14"/>
      <c r="F478" s="17" t="s">
        <v>414</v>
      </c>
      <c r="G478" s="18">
        <v>67796</v>
      </c>
    </row>
    <row r="479" spans="1:7">
      <c r="A479" s="14" t="s">
        <v>326</v>
      </c>
      <c r="B479" s="14" t="s">
        <v>327</v>
      </c>
      <c r="C479" s="15">
        <v>1</v>
      </c>
      <c r="D479" s="16">
        <v>4624</v>
      </c>
      <c r="E479" s="14"/>
      <c r="F479" s="17" t="s">
        <v>415</v>
      </c>
      <c r="G479" s="18">
        <v>115082</v>
      </c>
    </row>
    <row r="480" spans="1:7">
      <c r="A480" s="14" t="s">
        <v>326</v>
      </c>
      <c r="B480" s="14" t="s">
        <v>327</v>
      </c>
      <c r="C480" s="15">
        <v>0.4</v>
      </c>
      <c r="D480" s="16">
        <v>6146</v>
      </c>
      <c r="E480" s="14"/>
      <c r="F480" s="17" t="s">
        <v>142</v>
      </c>
      <c r="G480" s="18">
        <v>56092.800000000003</v>
      </c>
    </row>
    <row r="481" spans="1:7">
      <c r="A481" s="14" t="s">
        <v>326</v>
      </c>
      <c r="B481" s="14" t="s">
        <v>327</v>
      </c>
      <c r="C481" s="15">
        <v>1</v>
      </c>
      <c r="D481" s="16">
        <v>6062</v>
      </c>
      <c r="E481" s="14"/>
      <c r="F481" s="17" t="s">
        <v>416</v>
      </c>
      <c r="G481" s="18">
        <v>64987</v>
      </c>
    </row>
    <row r="482" spans="1:7">
      <c r="A482" s="14" t="s">
        <v>326</v>
      </c>
      <c r="B482" s="14" t="s">
        <v>327</v>
      </c>
      <c r="C482" s="15">
        <v>1</v>
      </c>
      <c r="D482" s="16">
        <v>4677</v>
      </c>
      <c r="E482" s="14"/>
      <c r="F482" s="17" t="s">
        <v>417</v>
      </c>
      <c r="G482" s="18">
        <v>93912</v>
      </c>
    </row>
    <row r="483" spans="1:7">
      <c r="A483" s="14" t="s">
        <v>326</v>
      </c>
      <c r="B483" s="14" t="s">
        <v>327</v>
      </c>
      <c r="C483" s="15">
        <v>1</v>
      </c>
      <c r="D483" s="16">
        <v>6702</v>
      </c>
      <c r="E483" s="14"/>
      <c r="F483" s="17" t="s">
        <v>418</v>
      </c>
      <c r="G483" s="18">
        <v>75889</v>
      </c>
    </row>
    <row r="484" spans="1:7">
      <c r="A484" s="14" t="s">
        <v>326</v>
      </c>
      <c r="B484" s="14" t="s">
        <v>327</v>
      </c>
      <c r="C484" s="15">
        <v>1</v>
      </c>
      <c r="D484" s="16">
        <v>5897</v>
      </c>
      <c r="E484" s="14"/>
      <c r="F484" s="17" t="s">
        <v>419</v>
      </c>
      <c r="G484" s="18">
        <v>85512</v>
      </c>
    </row>
    <row r="485" spans="1:7">
      <c r="A485" s="14" t="s">
        <v>326</v>
      </c>
      <c r="B485" s="14" t="s">
        <v>327</v>
      </c>
      <c r="C485" s="15">
        <v>1</v>
      </c>
      <c r="D485" s="16">
        <v>6403</v>
      </c>
      <c r="E485" s="14"/>
      <c r="F485" s="17" t="s">
        <v>420</v>
      </c>
      <c r="G485" s="18">
        <v>65185</v>
      </c>
    </row>
    <row r="486" spans="1:7">
      <c r="A486" s="14" t="s">
        <v>326</v>
      </c>
      <c r="B486" s="14" t="s">
        <v>327</v>
      </c>
      <c r="C486" s="15">
        <v>1</v>
      </c>
      <c r="D486" s="16">
        <v>5799</v>
      </c>
      <c r="E486" s="14"/>
      <c r="F486" s="17" t="s">
        <v>421</v>
      </c>
      <c r="G486" s="18">
        <v>68412</v>
      </c>
    </row>
    <row r="487" spans="1:7">
      <c r="A487" s="14" t="s">
        <v>326</v>
      </c>
      <c r="B487" s="14" t="s">
        <v>327</v>
      </c>
      <c r="C487" s="15">
        <v>1</v>
      </c>
      <c r="D487" s="16">
        <v>6244</v>
      </c>
      <c r="E487" s="14"/>
      <c r="F487" s="17" t="s">
        <v>422</v>
      </c>
      <c r="G487" s="18">
        <v>75778</v>
      </c>
    </row>
    <row r="488" spans="1:7">
      <c r="A488" s="14" t="s">
        <v>326</v>
      </c>
      <c r="B488" s="14" t="s">
        <v>327</v>
      </c>
      <c r="C488" s="15">
        <v>0.4</v>
      </c>
      <c r="D488" s="16">
        <v>4516</v>
      </c>
      <c r="E488" s="14"/>
      <c r="F488" s="17" t="s">
        <v>143</v>
      </c>
      <c r="G488" s="18">
        <v>56702.8</v>
      </c>
    </row>
    <row r="489" spans="1:7">
      <c r="A489" s="14" t="s">
        <v>326</v>
      </c>
      <c r="B489" s="14" t="s">
        <v>327</v>
      </c>
      <c r="C489" s="15">
        <v>1</v>
      </c>
      <c r="D489" s="16">
        <v>6704</v>
      </c>
      <c r="E489" s="14"/>
      <c r="F489" s="17" t="s">
        <v>423</v>
      </c>
      <c r="G489" s="18">
        <v>74001</v>
      </c>
    </row>
    <row r="490" spans="1:7">
      <c r="A490" s="14" t="s">
        <v>326</v>
      </c>
      <c r="B490" s="14" t="s">
        <v>327</v>
      </c>
      <c r="C490" s="15">
        <v>0.6</v>
      </c>
      <c r="D490" s="16">
        <v>6786</v>
      </c>
      <c r="E490" s="14"/>
      <c r="F490" s="17" t="s">
        <v>424</v>
      </c>
      <c r="G490" s="18">
        <v>39111</v>
      </c>
    </row>
    <row r="491" spans="1:7">
      <c r="A491" s="14" t="s">
        <v>326</v>
      </c>
      <c r="B491" s="14" t="s">
        <v>327</v>
      </c>
      <c r="C491" s="15">
        <v>1</v>
      </c>
      <c r="D491" s="16">
        <v>5980</v>
      </c>
      <c r="E491" s="14"/>
      <c r="F491" s="17" t="s">
        <v>425</v>
      </c>
      <c r="G491" s="18">
        <v>89131</v>
      </c>
    </row>
    <row r="492" spans="1:7">
      <c r="A492" s="14" t="s">
        <v>326</v>
      </c>
      <c r="B492" s="14" t="s">
        <v>327</v>
      </c>
      <c r="C492" s="15">
        <v>1</v>
      </c>
      <c r="D492" s="16">
        <v>5686</v>
      </c>
      <c r="E492" s="14"/>
      <c r="F492" s="17" t="s">
        <v>426</v>
      </c>
      <c r="G492" s="18">
        <v>100379</v>
      </c>
    </row>
    <row r="493" spans="1:7">
      <c r="A493" s="14" t="s">
        <v>326</v>
      </c>
      <c r="B493" s="14" t="s">
        <v>327</v>
      </c>
      <c r="C493" s="15">
        <v>0</v>
      </c>
      <c r="D493" s="16" t="s">
        <v>35</v>
      </c>
      <c r="E493" s="14"/>
      <c r="F493" s="17" t="s">
        <v>427</v>
      </c>
      <c r="G493" s="18">
        <v>125075</v>
      </c>
    </row>
    <row r="494" spans="1:7">
      <c r="A494" s="14" t="s">
        <v>326</v>
      </c>
      <c r="B494" s="14" t="s">
        <v>327</v>
      </c>
      <c r="C494" s="15">
        <v>1</v>
      </c>
      <c r="D494" s="16">
        <v>6042</v>
      </c>
      <c r="E494" s="14"/>
      <c r="F494" s="17" t="s">
        <v>428</v>
      </c>
      <c r="G494" s="18">
        <v>64987</v>
      </c>
    </row>
    <row r="495" spans="1:7">
      <c r="A495" s="14" t="s">
        <v>326</v>
      </c>
      <c r="B495" s="14" t="s">
        <v>327</v>
      </c>
      <c r="C495" s="15">
        <v>1</v>
      </c>
      <c r="D495" s="16">
        <v>6828</v>
      </c>
      <c r="E495" s="14"/>
      <c r="F495" s="17" t="s">
        <v>429</v>
      </c>
      <c r="G495" s="18">
        <v>92687</v>
      </c>
    </row>
    <row r="496" spans="1:7">
      <c r="A496" s="14" t="s">
        <v>326</v>
      </c>
      <c r="B496" s="14" t="s">
        <v>327</v>
      </c>
      <c r="C496" s="15">
        <v>0.4</v>
      </c>
      <c r="D496" s="16">
        <v>4797</v>
      </c>
      <c r="E496" s="14"/>
      <c r="F496" s="17" t="s">
        <v>144</v>
      </c>
      <c r="G496" s="18">
        <v>58943.199999999997</v>
      </c>
    </row>
    <row r="497" spans="1:7">
      <c r="A497" s="14" t="s">
        <v>326</v>
      </c>
      <c r="B497" s="14" t="s">
        <v>327</v>
      </c>
      <c r="C497" s="15">
        <v>1</v>
      </c>
      <c r="D497" s="16">
        <v>5096</v>
      </c>
      <c r="E497" s="14"/>
      <c r="F497" s="17" t="s">
        <v>430</v>
      </c>
      <c r="G497" s="18">
        <v>104761</v>
      </c>
    </row>
    <row r="498" spans="1:7">
      <c r="A498" s="14" t="s">
        <v>326</v>
      </c>
      <c r="B498" s="14" t="s">
        <v>327</v>
      </c>
      <c r="C498" s="15">
        <v>1</v>
      </c>
      <c r="D498" s="16">
        <v>4618</v>
      </c>
      <c r="E498" s="14"/>
      <c r="F498" s="17" t="s">
        <v>431</v>
      </c>
      <c r="G498" s="18">
        <v>93222</v>
      </c>
    </row>
    <row r="499" spans="1:7">
      <c r="A499" s="14" t="s">
        <v>326</v>
      </c>
      <c r="B499" s="14" t="s">
        <v>327</v>
      </c>
      <c r="C499" s="15">
        <v>0.9</v>
      </c>
      <c r="D499" s="16">
        <v>4798</v>
      </c>
      <c r="E499" s="14"/>
      <c r="F499" s="17" t="s">
        <v>432</v>
      </c>
      <c r="G499" s="18">
        <v>91700</v>
      </c>
    </row>
    <row r="500" spans="1:7">
      <c r="A500" s="14" t="s">
        <v>326</v>
      </c>
      <c r="B500" s="14" t="s">
        <v>327</v>
      </c>
      <c r="C500" s="15">
        <v>1</v>
      </c>
      <c r="D500" s="16">
        <v>5518</v>
      </c>
      <c r="E500" s="14"/>
      <c r="F500" s="17" t="s">
        <v>433</v>
      </c>
      <c r="G500" s="18">
        <v>108126</v>
      </c>
    </row>
    <row r="501" spans="1:7">
      <c r="A501" s="14" t="s">
        <v>326</v>
      </c>
      <c r="B501" s="14" t="s">
        <v>327</v>
      </c>
      <c r="C501" s="15">
        <v>0.9</v>
      </c>
      <c r="D501" s="16">
        <v>6165</v>
      </c>
      <c r="E501" s="14"/>
      <c r="F501" s="17" t="s">
        <v>434</v>
      </c>
      <c r="G501" s="18">
        <v>54199.8</v>
      </c>
    </row>
    <row r="502" spans="1:7">
      <c r="A502" s="14" t="s">
        <v>326</v>
      </c>
      <c r="B502" s="14" t="s">
        <v>327</v>
      </c>
      <c r="C502" s="15">
        <v>0.4</v>
      </c>
      <c r="D502" s="16">
        <v>4814</v>
      </c>
      <c r="E502" s="14"/>
      <c r="F502" s="17" t="s">
        <v>145</v>
      </c>
      <c r="G502" s="18">
        <v>56418.8</v>
      </c>
    </row>
    <row r="503" spans="1:7">
      <c r="A503" s="14" t="s">
        <v>326</v>
      </c>
      <c r="B503" s="14" t="s">
        <v>327</v>
      </c>
      <c r="C503" s="15">
        <v>1</v>
      </c>
      <c r="D503" s="16">
        <v>6679</v>
      </c>
      <c r="E503" s="14"/>
      <c r="F503" s="17" t="s">
        <v>435</v>
      </c>
      <c r="G503" s="18">
        <v>63905</v>
      </c>
    </row>
    <row r="504" spans="1:7">
      <c r="A504" s="14" t="s">
        <v>326</v>
      </c>
      <c r="B504" s="14" t="s">
        <v>327</v>
      </c>
      <c r="C504" s="15">
        <v>1</v>
      </c>
      <c r="D504" s="16">
        <v>6253</v>
      </c>
      <c r="E504" s="14"/>
      <c r="F504" s="17" t="s">
        <v>436</v>
      </c>
      <c r="G504" s="18">
        <v>68821</v>
      </c>
    </row>
    <row r="505" spans="1:7">
      <c r="A505" s="14" t="s">
        <v>326</v>
      </c>
      <c r="B505" s="14" t="s">
        <v>327</v>
      </c>
      <c r="C505" s="15">
        <v>1</v>
      </c>
      <c r="D505" s="16">
        <v>5531</v>
      </c>
      <c r="E505" s="14"/>
      <c r="F505" s="17" t="s">
        <v>437</v>
      </c>
      <c r="G505" s="18">
        <v>83793</v>
      </c>
    </row>
    <row r="506" spans="1:7">
      <c r="A506" s="14" t="s">
        <v>326</v>
      </c>
      <c r="B506" s="14" t="s">
        <v>327</v>
      </c>
      <c r="C506" s="15">
        <v>0.4</v>
      </c>
      <c r="D506" s="16">
        <v>4838</v>
      </c>
      <c r="E506" s="14"/>
      <c r="F506" s="17" t="s">
        <v>146</v>
      </c>
      <c r="G506" s="18">
        <v>58522.400000000001</v>
      </c>
    </row>
    <row r="507" spans="1:7">
      <c r="A507" s="14" t="s">
        <v>326</v>
      </c>
      <c r="B507" s="14" t="s">
        <v>327</v>
      </c>
      <c r="C507" s="15">
        <v>1</v>
      </c>
      <c r="D507" s="16">
        <v>4636</v>
      </c>
      <c r="E507" s="14"/>
      <c r="F507" s="17" t="s">
        <v>438</v>
      </c>
      <c r="G507" s="18">
        <v>106936</v>
      </c>
    </row>
    <row r="508" spans="1:7">
      <c r="A508" s="14" t="s">
        <v>326</v>
      </c>
      <c r="B508" s="14" t="s">
        <v>327</v>
      </c>
      <c r="C508" s="15">
        <v>1</v>
      </c>
      <c r="D508" s="16">
        <v>4845</v>
      </c>
      <c r="E508" s="14"/>
      <c r="F508" s="17" t="s">
        <v>439</v>
      </c>
      <c r="G508" s="18">
        <v>113211</v>
      </c>
    </row>
    <row r="509" spans="1:7">
      <c r="A509" s="14" t="s">
        <v>326</v>
      </c>
      <c r="B509" s="14" t="s">
        <v>327</v>
      </c>
      <c r="C509" s="15">
        <v>1</v>
      </c>
      <c r="D509" s="16">
        <v>4869</v>
      </c>
      <c r="E509" s="14"/>
      <c r="F509" s="17" t="s">
        <v>440</v>
      </c>
      <c r="G509" s="18">
        <v>113211</v>
      </c>
    </row>
    <row r="510" spans="1:7">
      <c r="A510" s="14" t="s">
        <v>326</v>
      </c>
      <c r="B510" s="14" t="s">
        <v>327</v>
      </c>
      <c r="C510" s="15">
        <v>1</v>
      </c>
      <c r="D510" s="16">
        <v>5400</v>
      </c>
      <c r="E510" s="14"/>
      <c r="F510" s="17" t="s">
        <v>441</v>
      </c>
      <c r="G510" s="18">
        <v>93912</v>
      </c>
    </row>
    <row r="511" spans="1:7">
      <c r="A511" s="14" t="s">
        <v>326</v>
      </c>
      <c r="B511" s="14" t="s">
        <v>327</v>
      </c>
      <c r="C511" s="15">
        <v>1</v>
      </c>
      <c r="D511" s="16">
        <v>6060</v>
      </c>
      <c r="E511" s="14"/>
      <c r="F511" s="17" t="s">
        <v>442</v>
      </c>
      <c r="G511" s="18">
        <v>79473</v>
      </c>
    </row>
    <row r="512" spans="1:7">
      <c r="A512" s="14" t="s">
        <v>326</v>
      </c>
      <c r="B512" s="14" t="s">
        <v>327</v>
      </c>
      <c r="C512" s="15">
        <v>1</v>
      </c>
      <c r="D512" s="16">
        <v>6316</v>
      </c>
      <c r="E512" s="14"/>
      <c r="F512" s="17" t="s">
        <v>443</v>
      </c>
      <c r="G512" s="18">
        <v>63061</v>
      </c>
    </row>
    <row r="513" spans="1:7">
      <c r="A513" s="14" t="s">
        <v>326</v>
      </c>
      <c r="B513" s="14" t="s">
        <v>327</v>
      </c>
      <c r="C513" s="15">
        <v>1</v>
      </c>
      <c r="D513" s="16">
        <v>6422</v>
      </c>
      <c r="E513" s="14"/>
      <c r="F513" s="17" t="s">
        <v>444</v>
      </c>
      <c r="G513" s="18">
        <v>61863</v>
      </c>
    </row>
    <row r="514" spans="1:7">
      <c r="A514" s="14" t="s">
        <v>326</v>
      </c>
      <c r="B514" s="14" t="s">
        <v>327</v>
      </c>
      <c r="C514" s="15">
        <v>1</v>
      </c>
      <c r="D514" s="16">
        <v>6608</v>
      </c>
      <c r="E514" s="14"/>
      <c r="F514" s="17" t="s">
        <v>445</v>
      </c>
      <c r="G514" s="18">
        <v>70193</v>
      </c>
    </row>
    <row r="515" spans="1:7">
      <c r="A515" s="14" t="s">
        <v>326</v>
      </c>
      <c r="B515" s="14" t="s">
        <v>327</v>
      </c>
      <c r="C515" s="15">
        <v>1</v>
      </c>
      <c r="D515" s="16">
        <v>6033</v>
      </c>
      <c r="E515" s="14"/>
      <c r="F515" s="17" t="s">
        <v>446</v>
      </c>
      <c r="G515" s="18">
        <v>63362</v>
      </c>
    </row>
    <row r="516" spans="1:7">
      <c r="A516" s="14" t="s">
        <v>326</v>
      </c>
      <c r="B516" s="14" t="s">
        <v>327</v>
      </c>
      <c r="C516" s="15">
        <v>1</v>
      </c>
      <c r="D516" s="16">
        <v>5809</v>
      </c>
      <c r="E516" s="14"/>
      <c r="F516" s="17" t="s">
        <v>447</v>
      </c>
      <c r="G516" s="18">
        <v>77514</v>
      </c>
    </row>
    <row r="517" spans="1:7">
      <c r="A517" s="14" t="s">
        <v>326</v>
      </c>
      <c r="B517" s="14" t="s">
        <v>327</v>
      </c>
      <c r="C517" s="15">
        <v>1</v>
      </c>
      <c r="D517" s="16">
        <v>4926</v>
      </c>
      <c r="E517" s="14"/>
      <c r="F517" s="17" t="s">
        <v>448</v>
      </c>
      <c r="G517" s="18">
        <v>97439</v>
      </c>
    </row>
    <row r="518" spans="1:7">
      <c r="A518" s="14" t="s">
        <v>326</v>
      </c>
      <c r="B518" s="14" t="s">
        <v>327</v>
      </c>
      <c r="C518" s="15">
        <v>1</v>
      </c>
      <c r="D518" s="16">
        <v>4948</v>
      </c>
      <c r="E518" s="14"/>
      <c r="F518" s="17" t="s">
        <v>449</v>
      </c>
      <c r="G518" s="18">
        <v>113711</v>
      </c>
    </row>
    <row r="519" spans="1:7">
      <c r="A519" s="14" t="s">
        <v>326</v>
      </c>
      <c r="B519" s="14" t="s">
        <v>327</v>
      </c>
      <c r="C519" s="15">
        <v>1</v>
      </c>
      <c r="D519" s="16">
        <v>6203</v>
      </c>
      <c r="E519" s="14"/>
      <c r="F519" s="17" t="s">
        <v>450</v>
      </c>
      <c r="G519" s="18">
        <v>67317</v>
      </c>
    </row>
    <row r="520" spans="1:7">
      <c r="A520" s="14" t="s">
        <v>326</v>
      </c>
      <c r="B520" s="14" t="s">
        <v>327</v>
      </c>
      <c r="C520" s="15">
        <v>1</v>
      </c>
      <c r="D520" s="16">
        <v>4962</v>
      </c>
      <c r="E520" s="14"/>
      <c r="F520" s="17" t="s">
        <v>451</v>
      </c>
      <c r="G520" s="18">
        <v>115912</v>
      </c>
    </row>
    <row r="521" spans="1:7">
      <c r="A521" s="14" t="s">
        <v>326</v>
      </c>
      <c r="B521" s="14" t="s">
        <v>327</v>
      </c>
      <c r="C521" s="15">
        <v>1</v>
      </c>
      <c r="D521" s="16">
        <v>4982</v>
      </c>
      <c r="E521" s="14"/>
      <c r="F521" s="17" t="s">
        <v>452</v>
      </c>
      <c r="G521" s="18">
        <v>108886</v>
      </c>
    </row>
    <row r="522" spans="1:7">
      <c r="A522" s="14" t="s">
        <v>326</v>
      </c>
      <c r="B522" s="14" t="s">
        <v>327</v>
      </c>
      <c r="C522" s="15">
        <v>1</v>
      </c>
      <c r="D522" s="16">
        <v>6364</v>
      </c>
      <c r="E522" s="14"/>
      <c r="F522" s="17" t="s">
        <v>453</v>
      </c>
      <c r="G522" s="18">
        <v>0</v>
      </c>
    </row>
    <row r="523" spans="1:7">
      <c r="A523" s="14" t="s">
        <v>326</v>
      </c>
      <c r="B523" s="14" t="s">
        <v>327</v>
      </c>
      <c r="C523" s="15">
        <v>1</v>
      </c>
      <c r="D523" s="16">
        <v>4991</v>
      </c>
      <c r="E523" s="14"/>
      <c r="F523" s="17" t="s">
        <v>454</v>
      </c>
      <c r="G523" s="18">
        <v>97754</v>
      </c>
    </row>
    <row r="524" spans="1:7">
      <c r="A524" s="14" t="s">
        <v>326</v>
      </c>
      <c r="B524" s="14" t="s">
        <v>327</v>
      </c>
      <c r="C524" s="15">
        <v>1</v>
      </c>
      <c r="D524" s="16">
        <v>6347</v>
      </c>
      <c r="E524" s="14"/>
      <c r="F524" s="17" t="s">
        <v>455</v>
      </c>
      <c r="G524" s="18">
        <v>67003</v>
      </c>
    </row>
    <row r="525" spans="1:7">
      <c r="A525" s="14" t="s">
        <v>326</v>
      </c>
      <c r="B525" s="14" t="s">
        <v>327</v>
      </c>
      <c r="C525" s="15">
        <v>1</v>
      </c>
      <c r="D525" s="16">
        <v>6944</v>
      </c>
      <c r="E525" s="14"/>
      <c r="F525" s="17" t="s">
        <v>453</v>
      </c>
      <c r="G525" s="18">
        <v>58662</v>
      </c>
    </row>
    <row r="526" spans="1:7">
      <c r="A526" s="14" t="s">
        <v>326</v>
      </c>
      <c r="B526" s="14" t="s">
        <v>327</v>
      </c>
      <c r="C526" s="15">
        <v>1</v>
      </c>
      <c r="D526" s="16">
        <v>5491</v>
      </c>
      <c r="E526" s="14"/>
      <c r="F526" s="17" t="s">
        <v>456</v>
      </c>
      <c r="G526" s="18">
        <v>89722</v>
      </c>
    </row>
    <row r="527" spans="1:7">
      <c r="A527" s="14" t="s">
        <v>326</v>
      </c>
      <c r="B527" s="14" t="s">
        <v>327</v>
      </c>
      <c r="C527" s="15">
        <v>1</v>
      </c>
      <c r="D527" s="16">
        <v>5926</v>
      </c>
      <c r="E527" s="14"/>
      <c r="F527" s="17" t="s">
        <v>457</v>
      </c>
      <c r="G527" s="18">
        <v>89131</v>
      </c>
    </row>
    <row r="528" spans="1:7">
      <c r="A528" s="14" t="s">
        <v>326</v>
      </c>
      <c r="B528" s="14" t="s">
        <v>327</v>
      </c>
      <c r="C528" s="15">
        <v>1</v>
      </c>
      <c r="D528" s="16">
        <v>5015</v>
      </c>
      <c r="E528" s="14"/>
      <c r="F528" s="17" t="s">
        <v>458</v>
      </c>
      <c r="G528" s="18">
        <v>0</v>
      </c>
    </row>
    <row r="529" spans="1:7">
      <c r="A529" s="14" t="s">
        <v>326</v>
      </c>
      <c r="B529" s="14" t="s">
        <v>327</v>
      </c>
      <c r="C529" s="15">
        <v>1</v>
      </c>
      <c r="D529" s="16">
        <v>5677</v>
      </c>
      <c r="E529" s="14"/>
      <c r="F529" s="17" t="s">
        <v>459</v>
      </c>
      <c r="G529" s="18">
        <v>73212</v>
      </c>
    </row>
    <row r="530" spans="1:7">
      <c r="A530" s="14" t="s">
        <v>326</v>
      </c>
      <c r="B530" s="14" t="s">
        <v>327</v>
      </c>
      <c r="C530" s="15">
        <v>1</v>
      </c>
      <c r="D530" s="16">
        <v>6064</v>
      </c>
      <c r="E530" s="14"/>
      <c r="F530" s="17" t="s">
        <v>460</v>
      </c>
      <c r="G530" s="18">
        <v>89131</v>
      </c>
    </row>
    <row r="531" spans="1:7">
      <c r="A531" s="14" t="s">
        <v>326</v>
      </c>
      <c r="B531" s="14" t="s">
        <v>327</v>
      </c>
      <c r="C531" s="15">
        <v>1</v>
      </c>
      <c r="D531" s="16">
        <v>6374</v>
      </c>
      <c r="E531" s="14"/>
      <c r="F531" s="17" t="s">
        <v>461</v>
      </c>
      <c r="G531" s="18">
        <v>0</v>
      </c>
    </row>
    <row r="532" spans="1:7">
      <c r="A532" s="14" t="s">
        <v>326</v>
      </c>
      <c r="B532" s="14" t="s">
        <v>327</v>
      </c>
      <c r="C532" s="15">
        <v>1</v>
      </c>
      <c r="D532" s="16">
        <v>6241</v>
      </c>
      <c r="E532" s="14"/>
      <c r="F532" s="17" t="s">
        <v>462</v>
      </c>
      <c r="G532" s="18">
        <v>65945</v>
      </c>
    </row>
    <row r="533" spans="1:7">
      <c r="A533" s="14" t="s">
        <v>326</v>
      </c>
      <c r="B533" s="14" t="s">
        <v>327</v>
      </c>
      <c r="C533" s="15">
        <v>1</v>
      </c>
      <c r="D533" s="16">
        <v>6641</v>
      </c>
      <c r="E533" s="14"/>
      <c r="F533" s="17" t="s">
        <v>463</v>
      </c>
      <c r="G533" s="18">
        <v>58662</v>
      </c>
    </row>
    <row r="534" spans="1:7">
      <c r="A534" s="14" t="s">
        <v>326</v>
      </c>
      <c r="B534" s="14" t="s">
        <v>327</v>
      </c>
      <c r="C534" s="15">
        <v>1</v>
      </c>
      <c r="D534" s="16">
        <v>5089</v>
      </c>
      <c r="E534" s="14"/>
      <c r="F534" s="17" t="s">
        <v>464</v>
      </c>
      <c r="G534" s="18">
        <v>100087</v>
      </c>
    </row>
    <row r="535" spans="1:7">
      <c r="A535" s="14" t="s">
        <v>326</v>
      </c>
      <c r="B535" s="14" t="s">
        <v>327</v>
      </c>
      <c r="C535" s="15">
        <v>1</v>
      </c>
      <c r="D535" s="16">
        <v>6721</v>
      </c>
      <c r="E535" s="14"/>
      <c r="F535" s="17" t="s">
        <v>465</v>
      </c>
      <c r="G535" s="18">
        <v>63061</v>
      </c>
    </row>
    <row r="536" spans="1:7">
      <c r="A536" s="14" t="s">
        <v>326</v>
      </c>
      <c r="B536" s="14" t="s">
        <v>327</v>
      </c>
      <c r="C536" s="15">
        <v>1</v>
      </c>
      <c r="D536" s="16">
        <v>5118</v>
      </c>
      <c r="E536" s="14"/>
      <c r="F536" s="17" t="s">
        <v>466</v>
      </c>
      <c r="G536" s="18">
        <v>106154</v>
      </c>
    </row>
    <row r="537" spans="1:7">
      <c r="A537" s="14" t="s">
        <v>326</v>
      </c>
      <c r="B537" s="14" t="s">
        <v>327</v>
      </c>
      <c r="C537" s="15">
        <v>1</v>
      </c>
      <c r="D537" s="16">
        <v>6784</v>
      </c>
      <c r="E537" s="14"/>
      <c r="F537" s="17" t="s">
        <v>467</v>
      </c>
      <c r="G537" s="18">
        <v>77862</v>
      </c>
    </row>
    <row r="538" spans="1:7">
      <c r="A538" s="14" t="s">
        <v>326</v>
      </c>
      <c r="B538" s="14" t="s">
        <v>327</v>
      </c>
      <c r="C538" s="15">
        <v>1</v>
      </c>
      <c r="D538" s="16">
        <v>5900</v>
      </c>
      <c r="E538" s="14"/>
      <c r="F538" s="17" t="s">
        <v>468</v>
      </c>
      <c r="G538" s="18">
        <v>75609</v>
      </c>
    </row>
    <row r="539" spans="1:7">
      <c r="A539" s="14" t="s">
        <v>326</v>
      </c>
      <c r="B539" s="14" t="s">
        <v>327</v>
      </c>
      <c r="C539" s="15">
        <v>1</v>
      </c>
      <c r="D539" s="16">
        <v>6451</v>
      </c>
      <c r="E539" s="14"/>
      <c r="F539" s="17" t="s">
        <v>469</v>
      </c>
      <c r="G539" s="18">
        <v>105311</v>
      </c>
    </row>
    <row r="540" spans="1:7">
      <c r="A540" s="14" t="s">
        <v>326</v>
      </c>
      <c r="B540" s="14" t="s">
        <v>327</v>
      </c>
      <c r="C540" s="15">
        <v>0</v>
      </c>
      <c r="D540" s="16" t="s">
        <v>35</v>
      </c>
      <c r="E540" s="14"/>
      <c r="F540" s="17" t="s">
        <v>470</v>
      </c>
      <c r="G540" s="18">
        <v>0</v>
      </c>
    </row>
    <row r="541" spans="1:7">
      <c r="A541" s="14" t="s">
        <v>326</v>
      </c>
      <c r="B541" s="14" t="s">
        <v>327</v>
      </c>
      <c r="C541" s="15">
        <v>1</v>
      </c>
      <c r="D541" s="16">
        <v>5135</v>
      </c>
      <c r="E541" s="14"/>
      <c r="F541" s="17" t="s">
        <v>471</v>
      </c>
      <c r="G541" s="18">
        <v>106654</v>
      </c>
    </row>
    <row r="542" spans="1:7">
      <c r="A542" s="14" t="s">
        <v>326</v>
      </c>
      <c r="B542" s="14" t="s">
        <v>327</v>
      </c>
      <c r="C542" s="15">
        <v>1</v>
      </c>
      <c r="D542" s="16">
        <v>5146</v>
      </c>
      <c r="E542" s="14"/>
      <c r="F542" s="17" t="s">
        <v>472</v>
      </c>
      <c r="G542" s="18">
        <v>111210</v>
      </c>
    </row>
    <row r="543" spans="1:7">
      <c r="A543" s="14" t="s">
        <v>326</v>
      </c>
      <c r="B543" s="14" t="s">
        <v>327</v>
      </c>
      <c r="C543" s="15">
        <v>1</v>
      </c>
      <c r="D543" s="16">
        <v>6144</v>
      </c>
      <c r="E543" s="14"/>
      <c r="F543" s="17" t="s">
        <v>473</v>
      </c>
      <c r="G543" s="18">
        <v>85512</v>
      </c>
    </row>
    <row r="544" spans="1:7">
      <c r="A544" s="14" t="s">
        <v>326</v>
      </c>
      <c r="B544" s="14" t="s">
        <v>327</v>
      </c>
      <c r="C544" s="15">
        <v>0.9</v>
      </c>
      <c r="D544" s="16">
        <v>5697</v>
      </c>
      <c r="E544" s="14"/>
      <c r="F544" s="17" t="s">
        <v>474</v>
      </c>
      <c r="G544" s="18">
        <v>84881</v>
      </c>
    </row>
    <row r="545" spans="1:7">
      <c r="A545" s="14" t="s">
        <v>326</v>
      </c>
      <c r="B545" s="14" t="s">
        <v>327</v>
      </c>
      <c r="C545" s="15">
        <v>1</v>
      </c>
      <c r="D545" s="16">
        <v>6699</v>
      </c>
      <c r="E545" s="14"/>
      <c r="F545" s="17" t="s">
        <v>366</v>
      </c>
      <c r="G545" s="18">
        <v>0</v>
      </c>
    </row>
    <row r="546" spans="1:7">
      <c r="A546" s="14" t="s">
        <v>326</v>
      </c>
      <c r="B546" s="14" t="s">
        <v>327</v>
      </c>
      <c r="C546" s="15">
        <v>0.4</v>
      </c>
      <c r="D546" s="16">
        <v>5698</v>
      </c>
      <c r="E546" s="14"/>
      <c r="F546" s="17" t="s">
        <v>475</v>
      </c>
      <c r="G546" s="18">
        <v>33578.800000000003</v>
      </c>
    </row>
    <row r="547" spans="1:7">
      <c r="A547" s="14" t="s">
        <v>326</v>
      </c>
      <c r="B547" s="14" t="s">
        <v>327</v>
      </c>
      <c r="C547" s="15">
        <v>1</v>
      </c>
      <c r="D547" s="16">
        <v>4048</v>
      </c>
      <c r="E547" s="14"/>
      <c r="F547" s="17" t="s">
        <v>476</v>
      </c>
      <c r="G547" s="18">
        <v>104761</v>
      </c>
    </row>
    <row r="548" spans="1:7">
      <c r="A548" s="14" t="s">
        <v>326</v>
      </c>
      <c r="B548" s="14" t="s">
        <v>327</v>
      </c>
      <c r="C548" s="15">
        <v>1</v>
      </c>
      <c r="D548" s="16">
        <v>5562</v>
      </c>
      <c r="E548" s="14"/>
      <c r="F548" s="17" t="s">
        <v>477</v>
      </c>
      <c r="G548" s="18">
        <v>111936</v>
      </c>
    </row>
    <row r="549" spans="1:7">
      <c r="A549" s="14" t="s">
        <v>326</v>
      </c>
      <c r="B549" s="14" t="s">
        <v>327</v>
      </c>
      <c r="C549" s="15">
        <v>1</v>
      </c>
      <c r="D549" s="16">
        <v>5790</v>
      </c>
      <c r="E549" s="14"/>
      <c r="F549" s="17" t="s">
        <v>478</v>
      </c>
      <c r="G549" s="18">
        <v>77514</v>
      </c>
    </row>
    <row r="550" spans="1:7">
      <c r="A550" s="14" t="s">
        <v>326</v>
      </c>
      <c r="B550" s="14" t="s">
        <v>327</v>
      </c>
      <c r="C550" s="15">
        <v>1</v>
      </c>
      <c r="D550" s="16">
        <v>5251</v>
      </c>
      <c r="E550" s="14"/>
      <c r="F550" s="17" t="s">
        <v>479</v>
      </c>
      <c r="G550" s="18">
        <v>108386</v>
      </c>
    </row>
    <row r="551" spans="1:7">
      <c r="A551" s="14" t="s">
        <v>326</v>
      </c>
      <c r="B551" s="14" t="s">
        <v>327</v>
      </c>
      <c r="C551" s="15">
        <v>1</v>
      </c>
      <c r="D551" s="16">
        <v>5253</v>
      </c>
      <c r="E551" s="14"/>
      <c r="F551" s="17" t="s">
        <v>480</v>
      </c>
      <c r="G551" s="18">
        <v>93912</v>
      </c>
    </row>
    <row r="552" spans="1:7">
      <c r="A552" s="14" t="s">
        <v>326</v>
      </c>
      <c r="B552" s="14" t="s">
        <v>327</v>
      </c>
      <c r="C552" s="15">
        <v>1</v>
      </c>
      <c r="D552" s="16">
        <v>4566</v>
      </c>
      <c r="E552" s="14"/>
      <c r="F552" s="17" t="s">
        <v>481</v>
      </c>
      <c r="G552" s="18">
        <v>108626</v>
      </c>
    </row>
    <row r="553" spans="1:7">
      <c r="A553" s="14" t="s">
        <v>326</v>
      </c>
      <c r="B553" s="14" t="s">
        <v>327</v>
      </c>
      <c r="C553" s="15">
        <v>1</v>
      </c>
      <c r="D553" s="16">
        <v>5998</v>
      </c>
      <c r="E553" s="14"/>
      <c r="F553" s="17" t="s">
        <v>482</v>
      </c>
      <c r="G553" s="18">
        <v>75609</v>
      </c>
    </row>
    <row r="554" spans="1:7">
      <c r="A554" s="14" t="s">
        <v>326</v>
      </c>
      <c r="B554" s="14" t="s">
        <v>327</v>
      </c>
      <c r="C554" s="15">
        <v>1</v>
      </c>
      <c r="D554" s="16">
        <v>5263</v>
      </c>
      <c r="E554" s="14"/>
      <c r="F554" s="17" t="s">
        <v>483</v>
      </c>
      <c r="G554" s="18">
        <v>111415</v>
      </c>
    </row>
    <row r="555" spans="1:7">
      <c r="A555" s="14" t="s">
        <v>326</v>
      </c>
      <c r="B555" s="14" t="s">
        <v>327</v>
      </c>
      <c r="C555" s="15">
        <v>1</v>
      </c>
      <c r="D555" s="16">
        <v>5296</v>
      </c>
      <c r="E555" s="14"/>
      <c r="F555" s="17" t="s">
        <v>484</v>
      </c>
      <c r="G555" s="18">
        <v>113711</v>
      </c>
    </row>
    <row r="556" spans="1:7">
      <c r="A556" s="14" t="s">
        <v>326</v>
      </c>
      <c r="B556" s="14" t="s">
        <v>327</v>
      </c>
      <c r="C556" s="15">
        <v>0.4</v>
      </c>
      <c r="D556" s="16">
        <v>5312</v>
      </c>
      <c r="E556" s="14"/>
      <c r="F556" s="17" t="s">
        <v>147</v>
      </c>
      <c r="G556" s="18">
        <v>58522.400000000001</v>
      </c>
    </row>
    <row r="557" spans="1:7">
      <c r="A557" s="14" t="s">
        <v>326</v>
      </c>
      <c r="B557" s="14" t="s">
        <v>327</v>
      </c>
      <c r="C557" s="15">
        <v>1</v>
      </c>
      <c r="D557" s="16">
        <v>6066</v>
      </c>
      <c r="E557" s="14"/>
      <c r="F557" s="17" t="s">
        <v>485</v>
      </c>
      <c r="G557" s="18">
        <v>49135.1</v>
      </c>
    </row>
    <row r="558" spans="1:7">
      <c r="A558" s="14" t="s">
        <v>326</v>
      </c>
      <c r="B558" s="14" t="s">
        <v>327</v>
      </c>
      <c r="C558" s="15">
        <v>1</v>
      </c>
      <c r="D558" s="16">
        <v>6588</v>
      </c>
      <c r="E558" s="14"/>
      <c r="F558" s="17" t="s">
        <v>486</v>
      </c>
      <c r="G558" s="18">
        <v>75855</v>
      </c>
    </row>
    <row r="559" spans="1:7">
      <c r="A559" s="14" t="s">
        <v>326</v>
      </c>
      <c r="B559" s="14" t="s">
        <v>327</v>
      </c>
      <c r="C559" s="15">
        <v>1</v>
      </c>
      <c r="D559" s="16">
        <v>6587</v>
      </c>
      <c r="E559" s="14"/>
      <c r="F559" s="17" t="s">
        <v>487</v>
      </c>
      <c r="G559" s="18">
        <v>65945</v>
      </c>
    </row>
    <row r="560" spans="1:7">
      <c r="A560" s="14" t="s">
        <v>326</v>
      </c>
      <c r="B560" s="14" t="s">
        <v>327</v>
      </c>
      <c r="C560" s="15">
        <v>1</v>
      </c>
      <c r="D560" s="16">
        <v>4643</v>
      </c>
      <c r="E560" s="14"/>
      <c r="F560" s="17" t="s">
        <v>488</v>
      </c>
      <c r="G560" s="18">
        <v>113711</v>
      </c>
    </row>
    <row r="561" spans="1:7">
      <c r="A561" s="14" t="s">
        <v>326</v>
      </c>
      <c r="B561" s="14" t="s">
        <v>327</v>
      </c>
      <c r="C561" s="15">
        <v>1</v>
      </c>
      <c r="D561" s="16">
        <v>6851</v>
      </c>
      <c r="E561" s="14"/>
      <c r="F561" s="17" t="s">
        <v>489</v>
      </c>
      <c r="G561" s="18">
        <v>57062</v>
      </c>
    </row>
    <row r="562" spans="1:7">
      <c r="A562" s="14" t="s">
        <v>326</v>
      </c>
      <c r="B562" s="14" t="s">
        <v>327</v>
      </c>
      <c r="C562" s="15">
        <v>1</v>
      </c>
      <c r="D562" s="16">
        <v>5352</v>
      </c>
      <c r="E562" s="14"/>
      <c r="F562" s="17" t="s">
        <v>413</v>
      </c>
      <c r="G562" s="18">
        <v>0</v>
      </c>
    </row>
    <row r="563" spans="1:7">
      <c r="A563" s="14" t="s">
        <v>326</v>
      </c>
      <c r="B563" s="14" t="s">
        <v>327</v>
      </c>
      <c r="C563" s="15">
        <v>1</v>
      </c>
      <c r="D563" s="16">
        <v>5356</v>
      </c>
      <c r="E563" s="14"/>
      <c r="F563" s="17" t="s">
        <v>490</v>
      </c>
      <c r="G563" s="18">
        <v>112711</v>
      </c>
    </row>
    <row r="564" spans="1:7">
      <c r="A564" s="14" t="s">
        <v>326</v>
      </c>
      <c r="B564" s="14" t="s">
        <v>327</v>
      </c>
      <c r="C564" s="15">
        <v>1</v>
      </c>
      <c r="D564" s="16">
        <v>6487</v>
      </c>
      <c r="E564" s="14"/>
      <c r="F564" s="17" t="s">
        <v>491</v>
      </c>
      <c r="G564" s="18">
        <v>65185</v>
      </c>
    </row>
    <row r="565" spans="1:7">
      <c r="A565" s="14" t="s">
        <v>326</v>
      </c>
      <c r="B565" s="14" t="s">
        <v>327</v>
      </c>
      <c r="C565" s="15">
        <v>1</v>
      </c>
      <c r="D565" s="16">
        <v>5357</v>
      </c>
      <c r="E565" s="14"/>
      <c r="F565" s="17" t="s">
        <v>492</v>
      </c>
      <c r="G565" s="18">
        <v>81042</v>
      </c>
    </row>
    <row r="566" spans="1:7">
      <c r="A566" s="14" t="s">
        <v>326</v>
      </c>
      <c r="B566" s="14" t="s">
        <v>327</v>
      </c>
      <c r="C566" s="15">
        <v>1</v>
      </c>
      <c r="D566" s="16">
        <v>5492</v>
      </c>
      <c r="E566" s="14"/>
      <c r="F566" s="17" t="s">
        <v>493</v>
      </c>
      <c r="G566" s="18">
        <v>100379</v>
      </c>
    </row>
    <row r="567" spans="1:7">
      <c r="A567" s="14" t="s">
        <v>326</v>
      </c>
      <c r="B567" s="14" t="s">
        <v>327</v>
      </c>
      <c r="C567" s="15">
        <v>1</v>
      </c>
      <c r="D567" s="16">
        <v>6247</v>
      </c>
      <c r="E567" s="14"/>
      <c r="F567" s="17" t="s">
        <v>494</v>
      </c>
      <c r="G567" s="18">
        <v>69920</v>
      </c>
    </row>
    <row r="568" spans="1:7">
      <c r="A568" s="14" t="s">
        <v>326</v>
      </c>
      <c r="B568" s="14" t="s">
        <v>327</v>
      </c>
      <c r="C568" s="15">
        <v>1</v>
      </c>
      <c r="D568" s="16">
        <v>6592</v>
      </c>
      <c r="E568" s="14"/>
      <c r="F568" s="17" t="s">
        <v>495</v>
      </c>
      <c r="G568" s="18">
        <v>63061</v>
      </c>
    </row>
    <row r="569" spans="1:7">
      <c r="A569" s="14" t="s">
        <v>326</v>
      </c>
      <c r="B569" s="14" t="s">
        <v>327</v>
      </c>
      <c r="C569" s="15">
        <v>1</v>
      </c>
      <c r="D569" s="16">
        <v>5909</v>
      </c>
      <c r="E569" s="14"/>
      <c r="F569" s="17" t="s">
        <v>496</v>
      </c>
      <c r="G569" s="18">
        <v>100379</v>
      </c>
    </row>
    <row r="570" spans="1:7">
      <c r="A570" s="14" t="s">
        <v>326</v>
      </c>
      <c r="B570" s="14" t="s">
        <v>327</v>
      </c>
      <c r="C570" s="15">
        <v>0.8</v>
      </c>
      <c r="D570" s="16">
        <v>6678</v>
      </c>
      <c r="E570" s="14"/>
      <c r="F570" s="17" t="s">
        <v>497</v>
      </c>
      <c r="G570" s="18">
        <v>58662</v>
      </c>
    </row>
    <row r="571" spans="1:7">
      <c r="A571" s="14" t="s">
        <v>326</v>
      </c>
      <c r="B571" s="14" t="s">
        <v>327</v>
      </c>
      <c r="C571" s="15">
        <v>1</v>
      </c>
      <c r="D571" s="16">
        <v>6698</v>
      </c>
      <c r="E571" s="14"/>
      <c r="F571" s="17" t="s">
        <v>498</v>
      </c>
      <c r="G571" s="18">
        <v>58662</v>
      </c>
    </row>
    <row r="572" spans="1:7">
      <c r="A572" s="14" t="s">
        <v>326</v>
      </c>
      <c r="B572" s="14" t="s">
        <v>327</v>
      </c>
      <c r="C572" s="15">
        <v>1</v>
      </c>
      <c r="D572" s="16">
        <v>6231</v>
      </c>
      <c r="E572" s="14"/>
      <c r="F572" s="17" t="s">
        <v>499</v>
      </c>
      <c r="G572" s="18">
        <v>100986</v>
      </c>
    </row>
    <row r="573" spans="1:7">
      <c r="A573" s="14" t="s">
        <v>326</v>
      </c>
      <c r="B573" s="14" t="s">
        <v>327</v>
      </c>
      <c r="C573" s="15">
        <v>1</v>
      </c>
      <c r="D573" s="16">
        <v>6691</v>
      </c>
      <c r="E573" s="14"/>
      <c r="F573" s="17" t="s">
        <v>500</v>
      </c>
      <c r="G573" s="18">
        <v>61863</v>
      </c>
    </row>
    <row r="574" spans="1:7">
      <c r="A574" s="14" t="s">
        <v>326</v>
      </c>
      <c r="B574" s="14" t="s">
        <v>327</v>
      </c>
      <c r="C574" s="15">
        <v>1</v>
      </c>
      <c r="D574" s="16">
        <v>6232</v>
      </c>
      <c r="E574" s="14"/>
      <c r="F574" s="17" t="s">
        <v>501</v>
      </c>
      <c r="G574" s="18">
        <v>67232</v>
      </c>
    </row>
    <row r="575" spans="1:7">
      <c r="A575" s="14" t="s">
        <v>326</v>
      </c>
      <c r="B575" s="14" t="s">
        <v>327</v>
      </c>
      <c r="C575" s="15">
        <v>1</v>
      </c>
      <c r="D575" s="16">
        <v>5398</v>
      </c>
      <c r="E575" s="14"/>
      <c r="F575" s="17" t="s">
        <v>502</v>
      </c>
      <c r="G575" s="18">
        <v>108626</v>
      </c>
    </row>
    <row r="576" spans="1:7">
      <c r="A576" s="14" t="s">
        <v>326</v>
      </c>
      <c r="B576" s="14" t="s">
        <v>327</v>
      </c>
      <c r="C576" s="15">
        <v>1</v>
      </c>
      <c r="D576" s="16">
        <v>6844</v>
      </c>
      <c r="E576" s="14"/>
      <c r="F576" s="17" t="s">
        <v>503</v>
      </c>
      <c r="G576" s="18">
        <v>72064</v>
      </c>
    </row>
    <row r="577" spans="1:7">
      <c r="A577" s="14" t="s">
        <v>326</v>
      </c>
      <c r="B577" s="14" t="s">
        <v>327</v>
      </c>
      <c r="C577" s="15">
        <v>1</v>
      </c>
      <c r="D577" s="16">
        <v>6675</v>
      </c>
      <c r="E577" s="14"/>
      <c r="F577" s="17" t="s">
        <v>504</v>
      </c>
      <c r="G577" s="18">
        <v>60222</v>
      </c>
    </row>
    <row r="578" spans="1:7">
      <c r="A578" s="14" t="s">
        <v>326</v>
      </c>
      <c r="B578" s="14" t="s">
        <v>327</v>
      </c>
      <c r="C578" s="15">
        <v>1</v>
      </c>
      <c r="D578" s="16">
        <v>6839</v>
      </c>
      <c r="E578" s="14"/>
      <c r="F578" s="17" t="s">
        <v>505</v>
      </c>
      <c r="G578" s="18">
        <v>71393</v>
      </c>
    </row>
    <row r="579" spans="1:7">
      <c r="A579" s="14" t="s">
        <v>326</v>
      </c>
      <c r="B579" s="14" t="s">
        <v>327</v>
      </c>
      <c r="C579" s="15">
        <v>1</v>
      </c>
      <c r="D579" s="16">
        <v>5408</v>
      </c>
      <c r="E579" s="14"/>
      <c r="F579" s="17" t="s">
        <v>506</v>
      </c>
      <c r="G579" s="18">
        <v>113211</v>
      </c>
    </row>
    <row r="580" spans="1:7">
      <c r="A580" s="14" t="s">
        <v>326</v>
      </c>
      <c r="B580" s="14" t="s">
        <v>327</v>
      </c>
      <c r="C580" s="15">
        <v>1</v>
      </c>
      <c r="D580" s="16">
        <v>6673</v>
      </c>
      <c r="E580" s="14"/>
      <c r="F580" s="17" t="s">
        <v>507</v>
      </c>
      <c r="G580" s="18">
        <v>73984</v>
      </c>
    </row>
    <row r="581" spans="1:7">
      <c r="A581" s="14" t="s">
        <v>326</v>
      </c>
      <c r="B581" s="14" t="s">
        <v>327</v>
      </c>
      <c r="C581" s="15">
        <v>1</v>
      </c>
      <c r="D581" s="16">
        <v>6610</v>
      </c>
      <c r="E581" s="14"/>
      <c r="F581" s="17" t="s">
        <v>508</v>
      </c>
      <c r="G581" s="18">
        <v>77862</v>
      </c>
    </row>
    <row r="582" spans="1:7">
      <c r="A582" s="14" t="s">
        <v>326</v>
      </c>
      <c r="B582" s="14" t="s">
        <v>327</v>
      </c>
      <c r="C582" s="15">
        <v>1</v>
      </c>
      <c r="D582" s="16">
        <v>5432</v>
      </c>
      <c r="E582" s="14"/>
      <c r="F582" s="17" t="s">
        <v>509</v>
      </c>
      <c r="G582" s="18">
        <v>113711</v>
      </c>
    </row>
    <row r="583" spans="1:7">
      <c r="A583" s="14" t="s">
        <v>326</v>
      </c>
      <c r="B583" s="14" t="s">
        <v>327</v>
      </c>
      <c r="C583" s="15">
        <v>1</v>
      </c>
      <c r="D583" s="16">
        <v>6765</v>
      </c>
      <c r="E583" s="14"/>
      <c r="F583" s="17" t="s">
        <v>510</v>
      </c>
      <c r="G583" s="18">
        <v>102857</v>
      </c>
    </row>
    <row r="584" spans="1:7">
      <c r="A584" s="14" t="s">
        <v>326</v>
      </c>
      <c r="B584" s="14" t="s">
        <v>327</v>
      </c>
      <c r="C584" s="15">
        <v>1</v>
      </c>
      <c r="D584" s="16">
        <v>5451</v>
      </c>
      <c r="E584" s="14"/>
      <c r="F584" s="17" t="s">
        <v>511</v>
      </c>
      <c r="G584" s="18">
        <v>113211</v>
      </c>
    </row>
    <row r="585" spans="1:7">
      <c r="A585" s="14" t="s">
        <v>326</v>
      </c>
      <c r="B585" s="14" t="s">
        <v>327</v>
      </c>
      <c r="C585" s="15">
        <v>1</v>
      </c>
      <c r="D585" s="16">
        <v>6703</v>
      </c>
      <c r="E585" s="14"/>
      <c r="F585" s="17" t="s">
        <v>512</v>
      </c>
      <c r="G585" s="18">
        <v>58662</v>
      </c>
    </row>
    <row r="586" spans="1:7">
      <c r="A586" s="14" t="s">
        <v>326</v>
      </c>
      <c r="B586" s="14" t="s">
        <v>327</v>
      </c>
      <c r="C586" s="15" t="s">
        <v>35</v>
      </c>
      <c r="D586" s="16">
        <v>6781</v>
      </c>
      <c r="E586" s="14"/>
      <c r="F586" s="17"/>
      <c r="G586" s="18">
        <v>24009</v>
      </c>
    </row>
    <row r="587" spans="1:7">
      <c r="A587" s="14" t="s">
        <v>326</v>
      </c>
      <c r="B587" s="14" t="s">
        <v>327</v>
      </c>
      <c r="C587" s="15">
        <v>0.4</v>
      </c>
      <c r="D587" s="16">
        <v>5978</v>
      </c>
      <c r="E587" s="14"/>
      <c r="F587" s="17" t="s">
        <v>148</v>
      </c>
      <c r="G587" s="19">
        <v>23178</v>
      </c>
    </row>
    <row r="588" spans="1:7">
      <c r="A588" s="14"/>
      <c r="B588" s="14"/>
      <c r="C588" s="15"/>
      <c r="D588" s="16"/>
      <c r="E588" s="14"/>
      <c r="F588" s="17"/>
      <c r="G588" s="20">
        <f>SUM(G386:G587)</f>
        <v>15936425.500000002</v>
      </c>
    </row>
    <row r="589" spans="1:7">
      <c r="A589" s="14"/>
      <c r="B589" s="14"/>
      <c r="C589" s="15"/>
      <c r="D589" s="16"/>
      <c r="E589" s="14"/>
      <c r="F589" s="17"/>
      <c r="G589" s="20"/>
    </row>
    <row r="590" spans="1:7">
      <c r="A590" s="14" t="s">
        <v>513</v>
      </c>
      <c r="B590" s="14" t="s">
        <v>514</v>
      </c>
      <c r="C590" s="15"/>
      <c r="D590" s="16" t="s">
        <v>35</v>
      </c>
      <c r="E590" s="14"/>
      <c r="F590" s="23" t="s">
        <v>35</v>
      </c>
      <c r="G590" s="20">
        <v>220000</v>
      </c>
    </row>
    <row r="591" spans="1:7">
      <c r="A591" s="14"/>
      <c r="B591" s="14"/>
      <c r="C591" s="15"/>
      <c r="D591" s="16"/>
      <c r="E591" s="14"/>
      <c r="F591" s="23"/>
      <c r="G591" s="20"/>
    </row>
    <row r="592" spans="1:7">
      <c r="A592" s="14" t="s">
        <v>515</v>
      </c>
      <c r="B592" s="14" t="s">
        <v>254</v>
      </c>
      <c r="C592" s="15"/>
      <c r="D592" s="16" t="s">
        <v>35</v>
      </c>
      <c r="E592" s="14"/>
      <c r="F592" s="23" t="s">
        <v>35</v>
      </c>
      <c r="G592" s="20">
        <v>6000</v>
      </c>
    </row>
    <row r="593" spans="1:8">
      <c r="A593" s="14"/>
      <c r="B593" s="14"/>
      <c r="C593" s="15"/>
      <c r="D593" s="16"/>
      <c r="E593" s="14"/>
      <c r="F593" s="23"/>
      <c r="G593" s="20"/>
    </row>
    <row r="594" spans="1:8">
      <c r="A594" s="14" t="s">
        <v>516</v>
      </c>
      <c r="B594" s="14" t="s">
        <v>517</v>
      </c>
      <c r="C594" s="15"/>
      <c r="D594" s="16" t="s">
        <v>35</v>
      </c>
      <c r="E594" s="14"/>
      <c r="F594" s="23" t="s">
        <v>35</v>
      </c>
      <c r="G594" s="20">
        <f>375000-150000</f>
        <v>225000</v>
      </c>
    </row>
    <row r="595" spans="1:8">
      <c r="A595" s="14"/>
      <c r="B595" s="14"/>
      <c r="C595" s="15"/>
      <c r="D595" s="16"/>
      <c r="E595" s="14"/>
      <c r="F595" s="23"/>
      <c r="G595" s="20"/>
    </row>
    <row r="596" spans="1:8">
      <c r="A596" s="14" t="s">
        <v>518</v>
      </c>
      <c r="B596" s="14" t="s">
        <v>519</v>
      </c>
      <c r="C596" s="15"/>
      <c r="D596" s="16" t="s">
        <v>35</v>
      </c>
      <c r="E596" s="14"/>
      <c r="F596" s="23" t="s">
        <v>35</v>
      </c>
      <c r="G596" s="20">
        <v>40000</v>
      </c>
    </row>
    <row r="597" spans="1:8">
      <c r="A597" s="14"/>
      <c r="B597" s="14"/>
      <c r="C597" s="15"/>
      <c r="D597" s="16"/>
      <c r="E597" s="14"/>
      <c r="F597" s="23"/>
      <c r="G597" s="20"/>
    </row>
    <row r="598" spans="1:8">
      <c r="A598" s="21"/>
      <c r="B598" s="5"/>
      <c r="C598" s="30"/>
      <c r="D598" s="7"/>
      <c r="E598" s="5"/>
      <c r="F598" s="8" t="s">
        <v>520</v>
      </c>
      <c r="G598" s="20">
        <f>G588+G590+G592+G594+G596</f>
        <v>16427425.500000002</v>
      </c>
      <c r="H598" s="1" t="s">
        <v>521</v>
      </c>
    </row>
    <row r="599" spans="1:8">
      <c r="A599" s="14"/>
      <c r="B599" s="14"/>
      <c r="C599" s="15"/>
      <c r="D599" s="16"/>
      <c r="E599" s="14"/>
      <c r="F599" s="23"/>
      <c r="G599" s="20"/>
    </row>
    <row r="600" spans="1:8">
      <c r="A600" s="14" t="s">
        <v>522</v>
      </c>
      <c r="B600" s="14" t="s">
        <v>523</v>
      </c>
      <c r="C600" s="15"/>
      <c r="D600" s="16" t="s">
        <v>35</v>
      </c>
      <c r="E600" s="14"/>
      <c r="F600" s="23" t="s">
        <v>35</v>
      </c>
      <c r="G600" s="20">
        <v>60000</v>
      </c>
      <c r="H600" s="1" t="s">
        <v>524</v>
      </c>
    </row>
    <row r="601" spans="1:8">
      <c r="A601" s="14"/>
      <c r="B601" s="14"/>
      <c r="C601" s="15"/>
      <c r="D601" s="16"/>
      <c r="E601" s="14"/>
      <c r="F601" s="17"/>
      <c r="G601" s="20"/>
    </row>
    <row r="602" spans="1:8">
      <c r="A602" s="14"/>
      <c r="B602" s="14"/>
      <c r="C602" s="15"/>
      <c r="D602" s="16"/>
      <c r="E602" s="14"/>
      <c r="F602" s="17"/>
      <c r="G602" s="18"/>
    </row>
    <row r="603" spans="1:8">
      <c r="A603" s="14" t="s">
        <v>525</v>
      </c>
      <c r="B603" s="14" t="s">
        <v>526</v>
      </c>
      <c r="C603" s="15">
        <v>1</v>
      </c>
      <c r="D603" s="16">
        <v>4709</v>
      </c>
      <c r="E603" s="14"/>
      <c r="F603" s="17" t="s">
        <v>527</v>
      </c>
      <c r="G603" s="18">
        <v>113211</v>
      </c>
    </row>
    <row r="604" spans="1:8">
      <c r="A604" s="14" t="s">
        <v>525</v>
      </c>
      <c r="B604" s="14" t="s">
        <v>526</v>
      </c>
      <c r="C604" s="15">
        <v>1</v>
      </c>
      <c r="D604" s="16">
        <v>6799</v>
      </c>
      <c r="E604" s="14"/>
      <c r="F604" s="17" t="s">
        <v>528</v>
      </c>
      <c r="G604" s="18">
        <v>94046</v>
      </c>
    </row>
    <row r="605" spans="1:8">
      <c r="A605" s="14" t="s">
        <v>525</v>
      </c>
      <c r="B605" s="14" t="s">
        <v>526</v>
      </c>
      <c r="C605" s="15"/>
      <c r="D605" s="16" t="s">
        <v>35</v>
      </c>
      <c r="E605" s="14"/>
      <c r="F605" s="17"/>
      <c r="G605" s="19">
        <v>0</v>
      </c>
    </row>
    <row r="606" spans="1:8">
      <c r="A606" s="14"/>
      <c r="B606" s="14"/>
      <c r="C606" s="15"/>
      <c r="D606" s="16"/>
      <c r="E606" s="14"/>
      <c r="F606" s="17"/>
      <c r="G606" s="20">
        <f>SUM(G603:G605)</f>
        <v>207257</v>
      </c>
      <c r="H606" s="1" t="s">
        <v>529</v>
      </c>
    </row>
    <row r="607" spans="1:8">
      <c r="A607" s="14"/>
      <c r="B607" s="14"/>
      <c r="C607" s="15"/>
      <c r="D607" s="16"/>
      <c r="E607" s="14"/>
      <c r="F607" s="17"/>
      <c r="G607" s="18"/>
    </row>
    <row r="608" spans="1:8">
      <c r="A608" s="14" t="s">
        <v>530</v>
      </c>
      <c r="B608" s="14" t="s">
        <v>531</v>
      </c>
      <c r="C608" s="15">
        <v>1</v>
      </c>
      <c r="D608" s="16">
        <v>6797</v>
      </c>
      <c r="E608" s="14"/>
      <c r="F608" s="17" t="s">
        <v>532</v>
      </c>
      <c r="G608" s="18">
        <v>32121</v>
      </c>
    </row>
    <row r="609" spans="1:8">
      <c r="A609" s="14" t="s">
        <v>530</v>
      </c>
      <c r="B609" s="14" t="s">
        <v>531</v>
      </c>
      <c r="C609" s="15">
        <v>1</v>
      </c>
      <c r="D609" s="16">
        <v>5804</v>
      </c>
      <c r="E609" s="14"/>
      <c r="F609" s="17" t="s">
        <v>533</v>
      </c>
      <c r="G609" s="18">
        <v>33021</v>
      </c>
    </row>
    <row r="610" spans="1:8">
      <c r="A610" s="14" t="s">
        <v>530</v>
      </c>
      <c r="B610" s="14" t="s">
        <v>531</v>
      </c>
      <c r="C610" s="15">
        <v>1</v>
      </c>
      <c r="D610" s="16">
        <v>6564</v>
      </c>
      <c r="E610" s="14"/>
      <c r="F610" s="17" t="s">
        <v>534</v>
      </c>
      <c r="G610" s="18">
        <v>32121</v>
      </c>
    </row>
    <row r="611" spans="1:8">
      <c r="A611" s="14" t="s">
        <v>530</v>
      </c>
      <c r="B611" s="14" t="s">
        <v>531</v>
      </c>
      <c r="C611" s="15">
        <v>0.79</v>
      </c>
      <c r="D611" s="16">
        <v>6607</v>
      </c>
      <c r="E611" s="14"/>
      <c r="F611" s="17" t="s">
        <v>535</v>
      </c>
      <c r="G611" s="19">
        <v>32121</v>
      </c>
    </row>
    <row r="612" spans="1:8">
      <c r="A612" s="14"/>
      <c r="B612" s="14"/>
      <c r="C612" s="15"/>
      <c r="D612" s="16"/>
      <c r="E612" s="14"/>
      <c r="F612" s="17"/>
      <c r="G612" s="20">
        <f>SUM(G608:G611)</f>
        <v>129384</v>
      </c>
      <c r="H612" s="1" t="s">
        <v>536</v>
      </c>
    </row>
    <row r="613" spans="1:8">
      <c r="A613" s="14"/>
      <c r="B613" s="14"/>
      <c r="C613" s="15"/>
      <c r="D613" s="16"/>
      <c r="E613" s="14"/>
      <c r="F613" s="17"/>
      <c r="G613" s="18"/>
    </row>
    <row r="614" spans="1:8">
      <c r="A614" s="14"/>
      <c r="B614" s="14"/>
      <c r="C614" s="15"/>
      <c r="D614" s="16"/>
      <c r="E614" s="14"/>
      <c r="F614" s="17"/>
      <c r="G614" s="18"/>
    </row>
    <row r="615" spans="1:8">
      <c r="A615" s="14" t="s">
        <v>537</v>
      </c>
      <c r="B615" s="14" t="s">
        <v>538</v>
      </c>
      <c r="C615" s="15">
        <v>1</v>
      </c>
      <c r="D615" s="16">
        <v>6192</v>
      </c>
      <c r="E615" s="14"/>
      <c r="F615" s="17" t="s">
        <v>539</v>
      </c>
      <c r="G615" s="18">
        <v>67003</v>
      </c>
    </row>
    <row r="616" spans="1:8">
      <c r="A616" s="14" t="s">
        <v>537</v>
      </c>
      <c r="B616" s="14" t="s">
        <v>538</v>
      </c>
      <c r="C616" s="15">
        <v>1</v>
      </c>
      <c r="D616" s="16">
        <v>6845</v>
      </c>
      <c r="E616" s="14"/>
      <c r="F616" s="17" t="s">
        <v>540</v>
      </c>
      <c r="G616" s="18">
        <v>58803</v>
      </c>
    </row>
    <row r="617" spans="1:8">
      <c r="A617" s="14" t="s">
        <v>537</v>
      </c>
      <c r="B617" s="14" t="s">
        <v>538</v>
      </c>
      <c r="C617" s="15">
        <v>0.7</v>
      </c>
      <c r="D617" s="16">
        <v>6589</v>
      </c>
      <c r="E617" s="14"/>
      <c r="F617" s="17" t="s">
        <v>541</v>
      </c>
      <c r="G617" s="18">
        <v>0</v>
      </c>
    </row>
    <row r="618" spans="1:8">
      <c r="A618" s="14" t="s">
        <v>537</v>
      </c>
      <c r="B618" s="14" t="s">
        <v>538</v>
      </c>
      <c r="C618" s="15">
        <v>1</v>
      </c>
      <c r="D618" s="16">
        <v>4225</v>
      </c>
      <c r="E618" s="14"/>
      <c r="F618" s="17" t="s">
        <v>542</v>
      </c>
      <c r="G618" s="18">
        <v>106654</v>
      </c>
    </row>
    <row r="619" spans="1:8">
      <c r="A619" s="14" t="s">
        <v>537</v>
      </c>
      <c r="B619" s="14" t="s">
        <v>538</v>
      </c>
      <c r="C619" s="15">
        <v>1</v>
      </c>
      <c r="D619" s="16">
        <v>5493</v>
      </c>
      <c r="E619" s="14"/>
      <c r="F619" s="17" t="s">
        <v>543</v>
      </c>
      <c r="G619" s="18">
        <v>98688</v>
      </c>
    </row>
    <row r="620" spans="1:8">
      <c r="A620" s="14" t="s">
        <v>537</v>
      </c>
      <c r="B620" s="14" t="s">
        <v>538</v>
      </c>
      <c r="C620" s="15">
        <v>1</v>
      </c>
      <c r="D620" s="16">
        <v>6695</v>
      </c>
      <c r="E620" s="14"/>
      <c r="F620" s="17" t="s">
        <v>544</v>
      </c>
      <c r="G620" s="18">
        <v>77848</v>
      </c>
    </row>
    <row r="621" spans="1:8">
      <c r="A621" s="14" t="s">
        <v>537</v>
      </c>
      <c r="B621" s="14" t="s">
        <v>538</v>
      </c>
      <c r="C621" s="15">
        <v>1</v>
      </c>
      <c r="D621" s="16">
        <v>6667</v>
      </c>
      <c r="E621" s="14"/>
      <c r="F621" s="17" t="s">
        <v>545</v>
      </c>
      <c r="G621" s="18">
        <v>58662</v>
      </c>
    </row>
    <row r="622" spans="1:8">
      <c r="A622" s="14" t="s">
        <v>537</v>
      </c>
      <c r="B622" s="14" t="s">
        <v>538</v>
      </c>
      <c r="C622" s="15">
        <v>1</v>
      </c>
      <c r="D622" s="16">
        <v>6957</v>
      </c>
      <c r="E622" s="14"/>
      <c r="F622" s="17" t="s">
        <v>546</v>
      </c>
      <c r="G622" s="18">
        <v>68821</v>
      </c>
    </row>
    <row r="623" spans="1:8">
      <c r="A623" s="14" t="s">
        <v>537</v>
      </c>
      <c r="B623" s="14" t="s">
        <v>538</v>
      </c>
      <c r="C623" s="15">
        <v>1</v>
      </c>
      <c r="D623" s="16">
        <v>6921</v>
      </c>
      <c r="E623" s="14"/>
      <c r="F623" s="17" t="s">
        <v>546</v>
      </c>
      <c r="G623" s="18">
        <v>0</v>
      </c>
    </row>
    <row r="624" spans="1:8">
      <c r="A624" s="14" t="s">
        <v>537</v>
      </c>
      <c r="B624" s="14" t="s">
        <v>538</v>
      </c>
      <c r="C624" s="15">
        <v>1</v>
      </c>
      <c r="D624" s="16">
        <v>6069</v>
      </c>
      <c r="E624" s="14"/>
      <c r="F624" s="17" t="s">
        <v>547</v>
      </c>
      <c r="G624" s="18">
        <v>71818</v>
      </c>
    </row>
    <row r="625" spans="1:8">
      <c r="A625" s="14" t="s">
        <v>537</v>
      </c>
      <c r="B625" s="14" t="s">
        <v>538</v>
      </c>
      <c r="C625" s="15">
        <v>1</v>
      </c>
      <c r="D625" s="16">
        <v>6356</v>
      </c>
      <c r="E625" s="14"/>
      <c r="F625" s="17" t="s">
        <v>548</v>
      </c>
      <c r="G625" s="18">
        <v>71778</v>
      </c>
    </row>
    <row r="626" spans="1:8">
      <c r="A626" s="14" t="s">
        <v>537</v>
      </c>
      <c r="B626" s="14" t="s">
        <v>538</v>
      </c>
      <c r="C626" s="15">
        <v>1</v>
      </c>
      <c r="D626" s="16">
        <v>5852</v>
      </c>
      <c r="E626" s="14"/>
      <c r="F626" s="17" t="s">
        <v>549</v>
      </c>
      <c r="G626" s="18">
        <v>73403</v>
      </c>
    </row>
    <row r="627" spans="1:8">
      <c r="A627" s="14" t="s">
        <v>537</v>
      </c>
      <c r="B627" s="14" t="s">
        <v>538</v>
      </c>
      <c r="C627" s="15">
        <v>1</v>
      </c>
      <c r="D627" s="16">
        <v>6605</v>
      </c>
      <c r="E627" s="14"/>
      <c r="F627" s="17" t="s">
        <v>550</v>
      </c>
      <c r="G627" s="18">
        <v>86396</v>
      </c>
    </row>
    <row r="628" spans="1:8">
      <c r="A628" s="14" t="s">
        <v>537</v>
      </c>
      <c r="B628" s="14" t="s">
        <v>538</v>
      </c>
      <c r="C628" s="15">
        <v>1</v>
      </c>
      <c r="D628" s="16">
        <v>6278</v>
      </c>
      <c r="E628" s="14"/>
      <c r="F628" s="17" t="s">
        <v>551</v>
      </c>
      <c r="G628" s="18">
        <v>67232</v>
      </c>
    </row>
    <row r="629" spans="1:8">
      <c r="A629" s="14" t="s">
        <v>537</v>
      </c>
      <c r="B629" s="14" t="s">
        <v>538</v>
      </c>
      <c r="C629" s="15">
        <v>1</v>
      </c>
      <c r="D629" s="16">
        <v>4742</v>
      </c>
      <c r="E629" s="14"/>
      <c r="F629" s="17" t="s">
        <v>552</v>
      </c>
      <c r="G629" s="18">
        <v>112711</v>
      </c>
    </row>
    <row r="630" spans="1:8">
      <c r="A630" s="14" t="s">
        <v>537</v>
      </c>
      <c r="B630" s="14" t="s">
        <v>538</v>
      </c>
      <c r="C630" s="15">
        <v>1</v>
      </c>
      <c r="D630" s="16">
        <v>6136</v>
      </c>
      <c r="E630" s="14"/>
      <c r="F630" s="17" t="s">
        <v>553</v>
      </c>
      <c r="G630" s="18">
        <v>71878</v>
      </c>
    </row>
    <row r="631" spans="1:8">
      <c r="A631" s="14" t="s">
        <v>537</v>
      </c>
      <c r="B631" s="14" t="s">
        <v>538</v>
      </c>
      <c r="C631" s="15">
        <v>1</v>
      </c>
      <c r="D631" s="16">
        <v>6581</v>
      </c>
      <c r="E631" s="14"/>
      <c r="F631" s="17" t="s">
        <v>554</v>
      </c>
      <c r="G631" s="18">
        <v>80168</v>
      </c>
    </row>
    <row r="632" spans="1:8">
      <c r="A632" s="14" t="s">
        <v>537</v>
      </c>
      <c r="B632" s="14" t="s">
        <v>538</v>
      </c>
      <c r="C632" s="15">
        <v>1</v>
      </c>
      <c r="D632" s="16">
        <v>4960</v>
      </c>
      <c r="E632" s="14"/>
      <c r="F632" s="17" t="s">
        <v>555</v>
      </c>
      <c r="G632" s="18">
        <v>106154</v>
      </c>
    </row>
    <row r="633" spans="1:8">
      <c r="A633" s="14" t="s">
        <v>537</v>
      </c>
      <c r="B633" s="14" t="s">
        <v>538</v>
      </c>
      <c r="C633" s="15"/>
      <c r="D633" s="16"/>
      <c r="E633" s="14"/>
      <c r="F633" s="17"/>
      <c r="G633" s="18">
        <v>0</v>
      </c>
    </row>
    <row r="634" spans="1:8">
      <c r="A634" s="14" t="s">
        <v>537</v>
      </c>
      <c r="B634" s="14" t="s">
        <v>538</v>
      </c>
      <c r="C634" s="15">
        <v>1</v>
      </c>
      <c r="D634" s="16">
        <v>5696</v>
      </c>
      <c r="E634" s="14"/>
      <c r="F634" s="17" t="s">
        <v>556</v>
      </c>
      <c r="G634" s="18">
        <v>79487</v>
      </c>
    </row>
    <row r="635" spans="1:8">
      <c r="A635" s="14" t="s">
        <v>537</v>
      </c>
      <c r="B635" s="14" t="s">
        <v>538</v>
      </c>
      <c r="C635" s="15">
        <v>1</v>
      </c>
      <c r="D635" s="16">
        <v>6068</v>
      </c>
      <c r="E635" s="14"/>
      <c r="F635" s="17" t="s">
        <v>557</v>
      </c>
      <c r="G635" s="18">
        <v>0</v>
      </c>
    </row>
    <row r="636" spans="1:8">
      <c r="A636" s="14" t="s">
        <v>537</v>
      </c>
      <c r="B636" s="14" t="s">
        <v>538</v>
      </c>
      <c r="C636" s="15">
        <v>0.7</v>
      </c>
      <c r="D636" s="16">
        <v>6708</v>
      </c>
      <c r="E636" s="14"/>
      <c r="F636" s="17" t="s">
        <v>528</v>
      </c>
      <c r="G636" s="18">
        <v>0</v>
      </c>
    </row>
    <row r="637" spans="1:8">
      <c r="A637" s="14" t="s">
        <v>537</v>
      </c>
      <c r="B637" s="14" t="s">
        <v>538</v>
      </c>
      <c r="C637" s="15">
        <v>1</v>
      </c>
      <c r="D637" s="16">
        <v>5433</v>
      </c>
      <c r="E637" s="14"/>
      <c r="F637" s="17" t="s">
        <v>558</v>
      </c>
      <c r="G637" s="19">
        <v>94174</v>
      </c>
    </row>
    <row r="638" spans="1:8">
      <c r="A638" s="14"/>
      <c r="B638" s="14"/>
      <c r="C638" s="15"/>
      <c r="D638" s="16"/>
      <c r="E638" s="14"/>
      <c r="F638" s="17"/>
      <c r="G638" s="20">
        <f>SUM(G615:G637)</f>
        <v>1451678</v>
      </c>
      <c r="H638" s="1" t="s">
        <v>559</v>
      </c>
    </row>
    <row r="639" spans="1:8">
      <c r="A639" s="14"/>
      <c r="B639" s="14"/>
      <c r="C639" s="15"/>
      <c r="D639" s="16"/>
      <c r="E639" s="14"/>
      <c r="F639" s="17"/>
      <c r="G639" s="18"/>
    </row>
    <row r="640" spans="1:8">
      <c r="A640" s="14"/>
      <c r="B640" s="14"/>
      <c r="C640" s="15"/>
      <c r="D640" s="16"/>
      <c r="E640" s="14"/>
      <c r="F640" s="17"/>
      <c r="G640" s="18"/>
    </row>
    <row r="641" spans="1:8">
      <c r="A641" s="14" t="s">
        <v>560</v>
      </c>
      <c r="B641" s="14" t="s">
        <v>561</v>
      </c>
      <c r="C641" s="15">
        <v>1</v>
      </c>
      <c r="D641" s="16">
        <v>6810</v>
      </c>
      <c r="E641" s="14"/>
      <c r="F641" s="17" t="s">
        <v>562</v>
      </c>
      <c r="G641" s="18">
        <v>32121</v>
      </c>
    </row>
    <row r="642" spans="1:8">
      <c r="A642" s="14" t="s">
        <v>560</v>
      </c>
      <c r="B642" s="14" t="s">
        <v>561</v>
      </c>
      <c r="C642" s="15">
        <v>1</v>
      </c>
      <c r="D642" s="16">
        <v>5081</v>
      </c>
      <c r="E642" s="14"/>
      <c r="F642" s="17" t="s">
        <v>563</v>
      </c>
      <c r="G642" s="18">
        <v>33021</v>
      </c>
    </row>
    <row r="643" spans="1:8">
      <c r="A643" s="14" t="s">
        <v>560</v>
      </c>
      <c r="B643" s="14" t="s">
        <v>561</v>
      </c>
      <c r="C643" s="15"/>
      <c r="D643" s="16" t="s">
        <v>35</v>
      </c>
      <c r="E643" s="14"/>
      <c r="F643" s="17" t="s">
        <v>35</v>
      </c>
      <c r="G643" s="19">
        <v>0</v>
      </c>
    </row>
    <row r="644" spans="1:8">
      <c r="A644" s="14"/>
      <c r="B644" s="14"/>
      <c r="C644" s="15"/>
      <c r="D644" s="16"/>
      <c r="E644" s="14"/>
      <c r="F644" s="17"/>
      <c r="G644" s="20">
        <f>SUM(G641:G643)</f>
        <v>65142</v>
      </c>
      <c r="H644" s="1" t="s">
        <v>564</v>
      </c>
    </row>
    <row r="645" spans="1:8">
      <c r="A645" s="14"/>
      <c r="B645" s="14"/>
      <c r="C645" s="15"/>
      <c r="D645" s="16"/>
      <c r="E645" s="14"/>
      <c r="F645" s="17"/>
      <c r="G645" s="20"/>
    </row>
    <row r="646" spans="1:8">
      <c r="A646" s="14" t="s">
        <v>565</v>
      </c>
      <c r="B646" s="14" t="s">
        <v>523</v>
      </c>
      <c r="C646" s="15"/>
      <c r="D646" s="16" t="s">
        <v>35</v>
      </c>
      <c r="E646" s="14"/>
      <c r="F646" s="17" t="s">
        <v>35</v>
      </c>
      <c r="G646" s="20">
        <v>30000</v>
      </c>
      <c r="H646" s="1" t="s">
        <v>566</v>
      </c>
    </row>
    <row r="647" spans="1:8">
      <c r="A647" s="14"/>
      <c r="B647" s="14"/>
      <c r="C647" s="15"/>
      <c r="D647" s="16"/>
      <c r="E647" s="14"/>
      <c r="F647" s="17"/>
      <c r="G647" s="20"/>
    </row>
    <row r="648" spans="1:8">
      <c r="A648" s="14"/>
      <c r="B648" s="14"/>
      <c r="C648" s="15"/>
      <c r="D648" s="16"/>
      <c r="E648" s="14"/>
      <c r="F648" s="17"/>
      <c r="G648" s="18"/>
    </row>
    <row r="649" spans="1:8">
      <c r="A649" s="14" t="s">
        <v>567</v>
      </c>
      <c r="B649" s="14" t="s">
        <v>568</v>
      </c>
      <c r="C649" s="15">
        <v>0.2</v>
      </c>
      <c r="D649" s="16">
        <v>6248</v>
      </c>
      <c r="E649" s="14"/>
      <c r="F649" s="17" t="s">
        <v>354</v>
      </c>
      <c r="G649" s="18">
        <v>13714</v>
      </c>
    </row>
    <row r="650" spans="1:8">
      <c r="A650" s="14" t="s">
        <v>567</v>
      </c>
      <c r="B650" s="14" t="s">
        <v>568</v>
      </c>
      <c r="C650" s="15">
        <v>0.1</v>
      </c>
      <c r="D650" s="16">
        <v>4798</v>
      </c>
      <c r="E650" s="14"/>
      <c r="F650" s="17" t="s">
        <v>432</v>
      </c>
      <c r="G650" s="18">
        <v>4360</v>
      </c>
    </row>
    <row r="651" spans="1:8">
      <c r="A651" s="14" t="s">
        <v>567</v>
      </c>
      <c r="B651" s="14" t="s">
        <v>568</v>
      </c>
      <c r="C651" s="15">
        <v>0.1</v>
      </c>
      <c r="D651" s="16">
        <v>5697</v>
      </c>
      <c r="E651" s="14"/>
      <c r="F651" s="17" t="s">
        <v>474</v>
      </c>
      <c r="G651" s="18">
        <v>10189</v>
      </c>
    </row>
    <row r="652" spans="1:8">
      <c r="A652" s="14" t="s">
        <v>567</v>
      </c>
      <c r="B652" s="14" t="s">
        <v>568</v>
      </c>
      <c r="C652" s="15">
        <v>0.05</v>
      </c>
      <c r="D652" s="16">
        <v>6690</v>
      </c>
      <c r="E652" s="14"/>
      <c r="F652" s="17" t="s">
        <v>368</v>
      </c>
      <c r="G652" s="19">
        <v>9431</v>
      </c>
    </row>
    <row r="653" spans="1:8">
      <c r="A653" s="14"/>
      <c r="B653" s="14"/>
      <c r="C653" s="15"/>
      <c r="D653" s="16"/>
      <c r="E653" s="14"/>
      <c r="F653" s="17"/>
      <c r="G653" s="38">
        <f>SUM(G649:G652)</f>
        <v>37694</v>
      </c>
      <c r="H653" s="1" t="s">
        <v>569</v>
      </c>
    </row>
    <row r="654" spans="1:8">
      <c r="A654" s="14"/>
      <c r="B654" s="14"/>
      <c r="C654" s="15"/>
      <c r="D654" s="16"/>
      <c r="E654" s="14"/>
      <c r="F654" s="17"/>
      <c r="G654" s="18"/>
    </row>
    <row r="655" spans="1:8">
      <c r="A655" s="14" t="s">
        <v>570</v>
      </c>
      <c r="B655" s="14" t="s">
        <v>571</v>
      </c>
      <c r="C655" s="15">
        <v>0</v>
      </c>
      <c r="D655" s="16" t="s">
        <v>35</v>
      </c>
      <c r="E655" s="14"/>
      <c r="F655" s="17" t="s">
        <v>35</v>
      </c>
      <c r="G655" s="18">
        <v>265773</v>
      </c>
    </row>
    <row r="656" spans="1:8">
      <c r="A656" s="14" t="s">
        <v>570</v>
      </c>
      <c r="B656" s="14" t="s">
        <v>571</v>
      </c>
      <c r="C656" s="15">
        <v>0.3</v>
      </c>
      <c r="D656" s="4">
        <v>6528</v>
      </c>
      <c r="E656" s="14"/>
      <c r="F656" s="17" t="s">
        <v>175</v>
      </c>
      <c r="G656" s="18">
        <v>44805</v>
      </c>
    </row>
    <row r="657" spans="1:7">
      <c r="A657" s="14" t="s">
        <v>570</v>
      </c>
      <c r="B657" s="14" t="s">
        <v>571</v>
      </c>
      <c r="C657" s="15">
        <v>0</v>
      </c>
      <c r="D657" s="16" t="s">
        <v>35</v>
      </c>
      <c r="E657" s="14"/>
      <c r="F657" s="17" t="s">
        <v>35</v>
      </c>
      <c r="G657" s="19">
        <v>0</v>
      </c>
    </row>
    <row r="658" spans="1:7">
      <c r="A658" s="14"/>
      <c r="B658" s="14"/>
      <c r="C658" s="15"/>
      <c r="D658" s="16"/>
      <c r="E658" s="14"/>
      <c r="F658" s="17"/>
      <c r="G658" s="31">
        <f>SUM(G655:G657)</f>
        <v>310578</v>
      </c>
    </row>
    <row r="659" spans="1:7">
      <c r="A659" s="14"/>
      <c r="B659" s="14"/>
      <c r="C659" s="15"/>
      <c r="D659" s="16"/>
      <c r="E659" s="14"/>
      <c r="F659" s="17"/>
      <c r="G659" s="18"/>
    </row>
    <row r="660" spans="1:7">
      <c r="A660" s="14" t="s">
        <v>572</v>
      </c>
      <c r="B660" s="14" t="s">
        <v>573</v>
      </c>
      <c r="C660" s="15">
        <v>0</v>
      </c>
      <c r="D660" s="16" t="s">
        <v>35</v>
      </c>
      <c r="E660" s="14"/>
      <c r="F660" s="17" t="s">
        <v>35</v>
      </c>
      <c r="G660" s="18">
        <v>260000</v>
      </c>
    </row>
    <row r="661" spans="1:7">
      <c r="A661" s="14" t="s">
        <v>572</v>
      </c>
      <c r="B661" s="14" t="s">
        <v>573</v>
      </c>
      <c r="C661" s="15">
        <v>0.3</v>
      </c>
      <c r="D661" s="16">
        <v>5759</v>
      </c>
      <c r="E661" s="14"/>
      <c r="F661" s="17" t="s">
        <v>176</v>
      </c>
      <c r="G661" s="18">
        <v>50578</v>
      </c>
    </row>
    <row r="662" spans="1:7">
      <c r="A662" s="14" t="s">
        <v>572</v>
      </c>
      <c r="B662" s="14" t="s">
        <v>573</v>
      </c>
      <c r="C662" s="15">
        <v>0</v>
      </c>
      <c r="D662" s="16" t="s">
        <v>35</v>
      </c>
      <c r="E662" s="14"/>
      <c r="F662" s="17" t="s">
        <v>35</v>
      </c>
      <c r="G662" s="19">
        <v>0</v>
      </c>
    </row>
    <row r="663" spans="1:7">
      <c r="A663" s="14"/>
      <c r="B663" s="14"/>
      <c r="C663" s="15"/>
      <c r="D663" s="16"/>
      <c r="E663" s="14"/>
      <c r="F663" s="17"/>
      <c r="G663" s="20">
        <f>SUM(G660:G662)</f>
        <v>310578</v>
      </c>
    </row>
    <row r="664" spans="1:7">
      <c r="A664" s="14"/>
      <c r="B664" s="14"/>
      <c r="C664" s="15"/>
      <c r="D664" s="16"/>
      <c r="E664" s="14"/>
      <c r="F664" s="17"/>
      <c r="G664" s="20"/>
    </row>
    <row r="665" spans="1:7">
      <c r="A665" s="14" t="s">
        <v>574</v>
      </c>
      <c r="B665" s="14" t="s">
        <v>575</v>
      </c>
      <c r="C665" s="16"/>
      <c r="D665" s="16" t="s">
        <v>35</v>
      </c>
      <c r="E665" s="14"/>
      <c r="F665" s="17" t="s">
        <v>35</v>
      </c>
      <c r="G665" s="20">
        <v>12800</v>
      </c>
    </row>
    <row r="666" spans="1:7">
      <c r="A666" s="14"/>
      <c r="B666" s="14"/>
      <c r="C666" s="14"/>
      <c r="D666" s="16"/>
      <c r="E666" s="14"/>
      <c r="F666" s="17"/>
      <c r="G666" s="20"/>
    </row>
    <row r="667" spans="1:7">
      <c r="A667" s="14" t="s">
        <v>576</v>
      </c>
      <c r="B667" s="14" t="s">
        <v>577</v>
      </c>
      <c r="C667" s="16"/>
      <c r="D667" s="16" t="s">
        <v>35</v>
      </c>
      <c r="E667" s="14"/>
      <c r="F667" s="17"/>
      <c r="G667" s="20">
        <v>16400</v>
      </c>
    </row>
    <row r="668" spans="1:7">
      <c r="A668" s="14"/>
      <c r="B668" s="14"/>
      <c r="C668" s="14"/>
      <c r="D668" s="16"/>
      <c r="E668" s="14"/>
      <c r="F668" s="17" t="s">
        <v>35</v>
      </c>
      <c r="G668" s="20"/>
    </row>
    <row r="669" spans="1:7">
      <c r="A669" s="14" t="s">
        <v>578</v>
      </c>
      <c r="B669" s="14" t="s">
        <v>579</v>
      </c>
      <c r="C669" s="14"/>
      <c r="D669" s="16" t="s">
        <v>35</v>
      </c>
      <c r="E669" s="14"/>
      <c r="F669" s="17"/>
      <c r="G669" s="20">
        <v>22000</v>
      </c>
    </row>
    <row r="670" spans="1:7">
      <c r="A670" s="14"/>
      <c r="B670" s="14"/>
      <c r="C670" s="14"/>
      <c r="D670" s="16"/>
      <c r="E670" s="14"/>
      <c r="F670" s="17"/>
      <c r="G670" s="20"/>
    </row>
    <row r="671" spans="1:7">
      <c r="A671" s="14" t="s">
        <v>580</v>
      </c>
      <c r="B671" s="14" t="s">
        <v>581</v>
      </c>
      <c r="C671" s="14"/>
      <c r="D671" s="16" t="s">
        <v>35</v>
      </c>
      <c r="E671" s="14"/>
      <c r="F671" s="17" t="s">
        <v>35</v>
      </c>
      <c r="G671" s="20">
        <v>22000</v>
      </c>
    </row>
    <row r="672" spans="1:7">
      <c r="A672" s="14"/>
      <c r="B672" s="14"/>
      <c r="C672" s="14"/>
      <c r="D672" s="16"/>
      <c r="E672" s="14"/>
      <c r="F672" s="17"/>
      <c r="G672" s="20"/>
    </row>
    <row r="673" spans="1:8">
      <c r="A673" s="14" t="s">
        <v>582</v>
      </c>
      <c r="B673" s="14" t="s">
        <v>583</v>
      </c>
      <c r="C673" s="14"/>
      <c r="D673" s="16" t="s">
        <v>35</v>
      </c>
      <c r="E673" s="14"/>
      <c r="F673" s="17" t="s">
        <v>35</v>
      </c>
      <c r="G673" s="20">
        <v>12000</v>
      </c>
    </row>
    <row r="674" spans="1:8">
      <c r="A674" s="14"/>
      <c r="B674" s="14"/>
      <c r="C674" s="14"/>
      <c r="D674" s="16"/>
      <c r="E674" s="14"/>
      <c r="F674" s="17"/>
      <c r="G674" s="20"/>
    </row>
    <row r="675" spans="1:8">
      <c r="A675" s="14" t="s">
        <v>584</v>
      </c>
      <c r="B675" s="14" t="s">
        <v>583</v>
      </c>
      <c r="C675" s="14"/>
      <c r="D675" s="16" t="s">
        <v>35</v>
      </c>
      <c r="E675" s="14"/>
      <c r="F675" s="17" t="s">
        <v>35</v>
      </c>
      <c r="G675" s="20">
        <v>12000</v>
      </c>
    </row>
    <row r="676" spans="1:8">
      <c r="A676" s="14"/>
      <c r="B676" s="14"/>
      <c r="C676" s="14"/>
      <c r="D676" s="16"/>
      <c r="E676" s="14"/>
      <c r="F676" s="17"/>
      <c r="G676" s="20"/>
    </row>
    <row r="677" spans="1:8">
      <c r="A677" s="14" t="s">
        <v>585</v>
      </c>
      <c r="B677" s="14" t="s">
        <v>586</v>
      </c>
      <c r="C677" s="14"/>
      <c r="D677" s="16" t="s">
        <v>35</v>
      </c>
      <c r="E677" s="14"/>
      <c r="F677" s="17" t="s">
        <v>35</v>
      </c>
      <c r="G677" s="20">
        <v>6000</v>
      </c>
    </row>
    <row r="678" spans="1:8">
      <c r="A678" s="14"/>
      <c r="B678" s="14"/>
      <c r="C678" s="14"/>
      <c r="D678" s="16"/>
      <c r="E678" s="14"/>
      <c r="F678" s="17"/>
      <c r="G678" s="20"/>
    </row>
    <row r="679" spans="1:8">
      <c r="A679" s="14" t="s">
        <v>587</v>
      </c>
      <c r="B679" s="14" t="s">
        <v>588</v>
      </c>
      <c r="C679" s="14"/>
      <c r="D679" s="16" t="s">
        <v>35</v>
      </c>
      <c r="E679" s="14"/>
      <c r="F679" s="17" t="s">
        <v>35</v>
      </c>
      <c r="G679" s="20">
        <v>6000</v>
      </c>
    </row>
    <row r="680" spans="1:8">
      <c r="A680" s="14"/>
      <c r="B680" s="14"/>
      <c r="C680" s="14"/>
      <c r="D680" s="16"/>
      <c r="E680" s="14"/>
      <c r="F680" s="17"/>
      <c r="G680" s="20"/>
    </row>
    <row r="681" spans="1:8">
      <c r="A681" s="21"/>
      <c r="B681" s="5"/>
      <c r="C681" s="30"/>
      <c r="D681" s="7"/>
      <c r="E681" s="5"/>
      <c r="F681" s="8" t="s">
        <v>589</v>
      </c>
      <c r="G681" s="20">
        <f>G679+G677+G675+G673+G671+G669+G667+G665+G663+G658</f>
        <v>730356</v>
      </c>
      <c r="H681" s="1" t="s">
        <v>590</v>
      </c>
    </row>
    <row r="682" spans="1:8">
      <c r="A682" s="14"/>
      <c r="B682" s="14"/>
      <c r="C682" s="14"/>
      <c r="D682" s="16"/>
      <c r="E682" s="14"/>
      <c r="F682" s="17"/>
      <c r="G682" s="20"/>
    </row>
    <row r="683" spans="1:8">
      <c r="A683" s="14" t="s">
        <v>591</v>
      </c>
      <c r="B683" s="14" t="s">
        <v>592</v>
      </c>
      <c r="C683" s="14"/>
      <c r="D683" s="16" t="s">
        <v>35</v>
      </c>
      <c r="E683" s="14"/>
      <c r="F683" s="17" t="s">
        <v>35</v>
      </c>
      <c r="G683" s="36">
        <v>566500</v>
      </c>
    </row>
    <row r="684" spans="1:8">
      <c r="A684" s="14" t="s">
        <v>591</v>
      </c>
      <c r="B684" s="14" t="s">
        <v>592</v>
      </c>
      <c r="C684" s="14"/>
      <c r="D684" s="16">
        <v>6528</v>
      </c>
      <c r="E684" s="14"/>
      <c r="F684" s="17" t="s">
        <v>175</v>
      </c>
      <c r="G684" s="19">
        <v>89610</v>
      </c>
    </row>
    <row r="685" spans="1:8">
      <c r="A685" s="14"/>
      <c r="B685" s="14"/>
      <c r="C685" s="14"/>
      <c r="D685" s="16"/>
      <c r="E685" s="14"/>
      <c r="F685" s="17"/>
      <c r="G685" s="20">
        <f>SUM(G683:G684)</f>
        <v>656110</v>
      </c>
    </row>
    <row r="686" spans="1:8">
      <c r="A686" s="14"/>
      <c r="B686" s="14"/>
      <c r="C686" s="14"/>
      <c r="D686" s="16"/>
      <c r="E686" s="14"/>
      <c r="F686" s="17"/>
      <c r="G686" s="20"/>
    </row>
    <row r="687" spans="1:8">
      <c r="A687" s="14" t="s">
        <v>593</v>
      </c>
      <c r="B687" s="14" t="s">
        <v>594</v>
      </c>
      <c r="C687" s="15"/>
      <c r="D687" s="16" t="s">
        <v>35</v>
      </c>
      <c r="E687" s="14"/>
      <c r="F687" s="17" t="s">
        <v>35</v>
      </c>
      <c r="G687" s="36">
        <v>566500</v>
      </c>
    </row>
    <row r="688" spans="1:8" ht="20.25">
      <c r="A688" s="14" t="s">
        <v>593</v>
      </c>
      <c r="B688" s="14" t="s">
        <v>594</v>
      </c>
      <c r="C688" s="15"/>
      <c r="D688" s="16">
        <v>5759</v>
      </c>
      <c r="E688" s="14"/>
      <c r="F688" s="17" t="s">
        <v>176</v>
      </c>
      <c r="G688" s="39">
        <v>101156</v>
      </c>
    </row>
    <row r="689" spans="1:7">
      <c r="A689" s="14"/>
      <c r="B689" s="14"/>
      <c r="C689" s="15"/>
      <c r="D689" s="16"/>
      <c r="E689" s="14"/>
      <c r="F689" s="17"/>
      <c r="G689" s="20">
        <f>SUM(G687:G688)</f>
        <v>667656</v>
      </c>
    </row>
    <row r="690" spans="1:7">
      <c r="A690" s="14"/>
      <c r="B690" s="14"/>
      <c r="C690" s="15"/>
      <c r="D690" s="16"/>
      <c r="E690" s="14"/>
      <c r="F690" s="17"/>
      <c r="G690" s="20"/>
    </row>
    <row r="691" spans="1:7">
      <c r="A691" s="14"/>
      <c r="B691" s="14"/>
      <c r="C691" s="15">
        <v>1</v>
      </c>
      <c r="D691" s="16">
        <v>6268</v>
      </c>
      <c r="E691" s="14"/>
      <c r="F691" s="17" t="s">
        <v>595</v>
      </c>
      <c r="G691" s="18">
        <v>58005</v>
      </c>
    </row>
    <row r="692" spans="1:7">
      <c r="A692" s="14" t="s">
        <v>596</v>
      </c>
      <c r="B692" s="14" t="s">
        <v>597</v>
      </c>
      <c r="C692" s="15">
        <v>1</v>
      </c>
      <c r="D692" s="16">
        <v>4295</v>
      </c>
      <c r="E692" s="14"/>
      <c r="F692" s="17" t="s">
        <v>598</v>
      </c>
      <c r="G692" s="18">
        <v>59005</v>
      </c>
    </row>
    <row r="693" spans="1:7">
      <c r="A693" s="14" t="s">
        <v>596</v>
      </c>
      <c r="B693" s="14" t="s">
        <v>597</v>
      </c>
      <c r="C693" s="15"/>
      <c r="D693" s="16" t="s">
        <v>35</v>
      </c>
      <c r="E693" s="14"/>
      <c r="F693" s="17" t="s">
        <v>35</v>
      </c>
      <c r="G693" s="18">
        <v>0</v>
      </c>
    </row>
    <row r="694" spans="1:7">
      <c r="A694" s="14"/>
      <c r="B694" s="14"/>
      <c r="C694" s="15"/>
      <c r="D694" s="16" t="s">
        <v>35</v>
      </c>
      <c r="E694" s="14"/>
      <c r="F694" s="17" t="s">
        <v>35</v>
      </c>
      <c r="G694" s="19">
        <v>6500</v>
      </c>
    </row>
    <row r="695" spans="1:7">
      <c r="A695" s="14"/>
      <c r="B695" s="14"/>
      <c r="C695" s="15"/>
      <c r="D695" s="16"/>
      <c r="E695" s="14"/>
      <c r="F695" s="17"/>
      <c r="G695" s="20">
        <f>SUM(G691:G694)</f>
        <v>123510</v>
      </c>
    </row>
    <row r="696" spans="1:7">
      <c r="A696" s="14"/>
      <c r="B696" s="14"/>
      <c r="C696" s="15"/>
      <c r="D696" s="16"/>
      <c r="E696" s="14"/>
      <c r="F696" s="17"/>
      <c r="G696" s="18"/>
    </row>
    <row r="697" spans="1:7">
      <c r="A697" s="14"/>
      <c r="B697" s="14"/>
      <c r="C697" s="15">
        <v>1</v>
      </c>
      <c r="D697" s="16">
        <v>6764</v>
      </c>
      <c r="E697" s="14"/>
      <c r="F697" s="17" t="s">
        <v>599</v>
      </c>
      <c r="G697" s="18">
        <v>68624</v>
      </c>
    </row>
    <row r="698" spans="1:7">
      <c r="A698" s="14" t="s">
        <v>600</v>
      </c>
      <c r="B698" s="14" t="s">
        <v>601</v>
      </c>
      <c r="C698" s="15">
        <v>1</v>
      </c>
      <c r="D698" s="16">
        <v>4628</v>
      </c>
      <c r="E698" s="14"/>
      <c r="F698" s="17" t="s">
        <v>602</v>
      </c>
      <c r="G698" s="18">
        <v>81293</v>
      </c>
    </row>
    <row r="699" spans="1:7">
      <c r="A699" s="14" t="s">
        <v>600</v>
      </c>
      <c r="B699" s="14" t="s">
        <v>601</v>
      </c>
      <c r="C699" s="15"/>
      <c r="D699" s="16" t="s">
        <v>35</v>
      </c>
      <c r="E699" s="14"/>
      <c r="F699" s="17" t="s">
        <v>35</v>
      </c>
      <c r="G699" s="19">
        <v>0</v>
      </c>
    </row>
    <row r="700" spans="1:7">
      <c r="A700" s="14"/>
      <c r="B700" s="14"/>
      <c r="C700" s="15"/>
      <c r="D700" s="16"/>
      <c r="E700" s="14"/>
      <c r="F700" s="17"/>
      <c r="G700" s="20">
        <f>SUM(G697:G699)</f>
        <v>149917</v>
      </c>
    </row>
    <row r="701" spans="1:7">
      <c r="A701" s="14"/>
      <c r="B701" s="14"/>
      <c r="C701" s="15"/>
      <c r="D701" s="16"/>
      <c r="E701" s="14"/>
      <c r="F701" s="17"/>
      <c r="G701" s="20"/>
    </row>
    <row r="702" spans="1:7">
      <c r="A702" s="14" t="s">
        <v>603</v>
      </c>
      <c r="B702" s="14" t="s">
        <v>604</v>
      </c>
      <c r="C702" s="15"/>
      <c r="D702" s="16" t="s">
        <v>35</v>
      </c>
      <c r="E702" s="14"/>
      <c r="F702" s="23" t="s">
        <v>35</v>
      </c>
      <c r="G702" s="20">
        <v>6000</v>
      </c>
    </row>
    <row r="703" spans="1:7">
      <c r="A703" s="14"/>
      <c r="B703" s="14"/>
      <c r="C703" s="15"/>
      <c r="D703" s="16"/>
      <c r="E703" s="14"/>
      <c r="F703" s="23"/>
      <c r="G703" s="20"/>
    </row>
    <row r="704" spans="1:7">
      <c r="A704" s="14" t="s">
        <v>605</v>
      </c>
      <c r="B704" s="14" t="s">
        <v>604</v>
      </c>
      <c r="C704" s="15"/>
      <c r="D704" s="16" t="s">
        <v>35</v>
      </c>
      <c r="E704" s="14"/>
      <c r="F704" s="23" t="s">
        <v>35</v>
      </c>
      <c r="G704" s="20">
        <v>6000</v>
      </c>
    </row>
    <row r="705" spans="1:8">
      <c r="A705" s="14"/>
      <c r="B705" s="14"/>
      <c r="C705" s="15"/>
      <c r="D705" s="16"/>
      <c r="E705" s="14"/>
      <c r="F705" s="23"/>
      <c r="G705" s="20"/>
    </row>
    <row r="706" spans="1:8">
      <c r="A706" s="14" t="s">
        <v>606</v>
      </c>
      <c r="B706" s="14" t="s">
        <v>607</v>
      </c>
      <c r="C706" s="15"/>
      <c r="D706" s="16" t="s">
        <v>35</v>
      </c>
      <c r="E706" s="14"/>
      <c r="F706" s="23" t="s">
        <v>35</v>
      </c>
      <c r="G706" s="20">
        <v>12000</v>
      </c>
    </row>
    <row r="707" spans="1:8">
      <c r="A707" s="14"/>
      <c r="B707" s="14"/>
      <c r="C707" s="15"/>
      <c r="D707" s="16"/>
      <c r="E707" s="14"/>
      <c r="F707" s="23"/>
      <c r="G707" s="20"/>
    </row>
    <row r="708" spans="1:8">
      <c r="A708" s="14" t="s">
        <v>608</v>
      </c>
      <c r="B708" s="14" t="s">
        <v>607</v>
      </c>
      <c r="C708" s="15"/>
      <c r="D708" s="16" t="s">
        <v>35</v>
      </c>
      <c r="E708" s="14"/>
      <c r="F708" s="23" t="s">
        <v>35</v>
      </c>
      <c r="G708" s="20">
        <v>12000</v>
      </c>
    </row>
    <row r="709" spans="1:8">
      <c r="A709" s="14"/>
      <c r="B709" s="14"/>
      <c r="C709" s="15"/>
      <c r="D709" s="16"/>
      <c r="E709" s="14"/>
      <c r="F709" s="23"/>
      <c r="G709" s="20"/>
    </row>
    <row r="710" spans="1:8">
      <c r="A710" s="14" t="s">
        <v>609</v>
      </c>
      <c r="B710" s="14" t="s">
        <v>610</v>
      </c>
      <c r="C710" s="15"/>
      <c r="D710" s="16" t="s">
        <v>35</v>
      </c>
      <c r="E710" s="14"/>
      <c r="F710" s="23" t="s">
        <v>35</v>
      </c>
      <c r="G710" s="20">
        <v>10000</v>
      </c>
    </row>
    <row r="711" spans="1:8">
      <c r="A711" s="14"/>
      <c r="B711" s="14"/>
      <c r="C711" s="15"/>
      <c r="D711" s="16"/>
      <c r="E711" s="14"/>
      <c r="F711" s="23"/>
      <c r="G711" s="20"/>
    </row>
    <row r="712" spans="1:8">
      <c r="A712" s="14" t="s">
        <v>611</v>
      </c>
      <c r="B712" s="14" t="s">
        <v>610</v>
      </c>
      <c r="C712" s="15"/>
      <c r="D712" s="16" t="s">
        <v>35</v>
      </c>
      <c r="E712" s="14"/>
      <c r="F712" s="23" t="s">
        <v>35</v>
      </c>
      <c r="G712" s="20">
        <v>10000</v>
      </c>
    </row>
    <row r="713" spans="1:8">
      <c r="A713" s="14"/>
      <c r="B713" s="14"/>
      <c r="C713" s="15"/>
      <c r="D713" s="16"/>
      <c r="E713" s="14"/>
      <c r="F713" s="23"/>
      <c r="G713" s="20"/>
    </row>
    <row r="714" spans="1:8">
      <c r="A714" s="21"/>
      <c r="B714" s="5"/>
      <c r="C714" s="30"/>
      <c r="D714" s="7"/>
      <c r="E714" s="5"/>
      <c r="F714" s="8" t="s">
        <v>612</v>
      </c>
      <c r="G714" s="20">
        <f>G685+G689+G695+G700+G702+G704+G706+G708+G710+G712</f>
        <v>1653193</v>
      </c>
      <c r="H714" s="1" t="s">
        <v>613</v>
      </c>
    </row>
    <row r="715" spans="1:8">
      <c r="A715" s="14"/>
      <c r="B715" s="14"/>
      <c r="C715" s="15"/>
      <c r="D715" s="16"/>
      <c r="E715" s="14"/>
      <c r="F715" s="23"/>
      <c r="G715" s="20"/>
    </row>
    <row r="716" spans="1:8">
      <c r="A716" s="14" t="s">
        <v>614</v>
      </c>
      <c r="B716" s="14" t="s">
        <v>615</v>
      </c>
      <c r="C716" s="15">
        <v>1</v>
      </c>
      <c r="D716" s="16">
        <v>6999</v>
      </c>
      <c r="E716" s="14"/>
      <c r="F716" s="17" t="s">
        <v>359</v>
      </c>
      <c r="G716" s="18">
        <v>43824</v>
      </c>
    </row>
    <row r="717" spans="1:8">
      <c r="A717" s="14" t="s">
        <v>614</v>
      </c>
      <c r="B717" s="14" t="s">
        <v>615</v>
      </c>
      <c r="C717" s="15">
        <v>1</v>
      </c>
      <c r="D717" s="16">
        <v>6760</v>
      </c>
      <c r="E717" s="14"/>
      <c r="F717" s="17" t="s">
        <v>616</v>
      </c>
      <c r="G717" s="18">
        <v>35518</v>
      </c>
    </row>
    <row r="718" spans="1:8">
      <c r="A718" s="14" t="s">
        <v>614</v>
      </c>
      <c r="B718" s="14" t="s">
        <v>615</v>
      </c>
      <c r="C718" s="15">
        <v>1</v>
      </c>
      <c r="D718" s="16">
        <v>6945</v>
      </c>
      <c r="E718" s="14"/>
      <c r="F718" s="17" t="s">
        <v>359</v>
      </c>
      <c r="G718" s="18">
        <v>31405</v>
      </c>
    </row>
    <row r="719" spans="1:8">
      <c r="A719" s="14" t="s">
        <v>614</v>
      </c>
      <c r="B719" s="14" t="s">
        <v>615</v>
      </c>
      <c r="C719" s="15">
        <v>1</v>
      </c>
      <c r="D719" s="16">
        <v>6960</v>
      </c>
      <c r="E719" s="14"/>
      <c r="F719" s="17" t="s">
        <v>617</v>
      </c>
      <c r="G719" s="18">
        <v>32640</v>
      </c>
    </row>
    <row r="720" spans="1:8">
      <c r="A720" s="14" t="s">
        <v>614</v>
      </c>
      <c r="B720" s="14" t="s">
        <v>615</v>
      </c>
      <c r="C720" s="15">
        <v>0.7</v>
      </c>
      <c r="D720" s="27">
        <v>6131</v>
      </c>
      <c r="E720" s="28"/>
      <c r="F720" s="29" t="s">
        <v>618</v>
      </c>
      <c r="G720" s="26">
        <v>31435</v>
      </c>
    </row>
    <row r="721" spans="1:8">
      <c r="A721" s="14" t="s">
        <v>614</v>
      </c>
      <c r="B721" s="14" t="s">
        <v>615</v>
      </c>
      <c r="C721" s="15">
        <v>1</v>
      </c>
      <c r="D721" s="16">
        <v>6370</v>
      </c>
      <c r="E721" s="14"/>
      <c r="F721" s="17" t="s">
        <v>391</v>
      </c>
      <c r="G721" s="18">
        <v>17324</v>
      </c>
    </row>
    <row r="722" spans="1:8">
      <c r="A722" s="14" t="s">
        <v>614</v>
      </c>
      <c r="B722" s="14" t="s">
        <v>615</v>
      </c>
      <c r="C722" s="15">
        <v>1</v>
      </c>
      <c r="D722" s="16">
        <v>6720</v>
      </c>
      <c r="E722" s="14"/>
      <c r="F722" s="17" t="s">
        <v>619</v>
      </c>
      <c r="G722" s="18">
        <v>36486</v>
      </c>
    </row>
    <row r="723" spans="1:8">
      <c r="A723" s="14" t="s">
        <v>614</v>
      </c>
      <c r="B723" s="14" t="s">
        <v>615</v>
      </c>
      <c r="C723" s="15">
        <v>1</v>
      </c>
      <c r="D723" s="16">
        <v>6624</v>
      </c>
      <c r="E723" s="14"/>
      <c r="F723" s="17" t="s">
        <v>620</v>
      </c>
      <c r="G723" s="18">
        <v>38800</v>
      </c>
    </row>
    <row r="724" spans="1:8">
      <c r="A724" s="14" t="s">
        <v>614</v>
      </c>
      <c r="B724" s="14" t="s">
        <v>615</v>
      </c>
      <c r="C724" s="15">
        <v>1</v>
      </c>
      <c r="D724" s="4">
        <v>4175</v>
      </c>
      <c r="E724" s="14"/>
      <c r="F724" s="17" t="s">
        <v>621</v>
      </c>
      <c r="G724" s="18">
        <v>37677</v>
      </c>
    </row>
    <row r="725" spans="1:8">
      <c r="A725" s="14" t="s">
        <v>614</v>
      </c>
      <c r="B725" s="14" t="s">
        <v>615</v>
      </c>
      <c r="C725" s="15">
        <v>1</v>
      </c>
      <c r="D725" s="16">
        <v>5487</v>
      </c>
      <c r="E725" s="14"/>
      <c r="F725" s="17" t="s">
        <v>622</v>
      </c>
      <c r="G725" s="18">
        <v>49480</v>
      </c>
    </row>
    <row r="726" spans="1:8">
      <c r="A726" s="14" t="s">
        <v>614</v>
      </c>
      <c r="B726" s="14" t="s">
        <v>615</v>
      </c>
      <c r="C726" s="15">
        <v>1</v>
      </c>
      <c r="D726" s="16">
        <v>6785</v>
      </c>
      <c r="E726" s="14"/>
      <c r="F726" s="17" t="s">
        <v>623</v>
      </c>
      <c r="G726" s="18">
        <v>33530</v>
      </c>
    </row>
    <row r="727" spans="1:8">
      <c r="A727" s="14" t="s">
        <v>614</v>
      </c>
      <c r="B727" s="14" t="s">
        <v>615</v>
      </c>
      <c r="C727" s="15">
        <v>1</v>
      </c>
      <c r="D727" s="16">
        <v>5282</v>
      </c>
      <c r="E727" s="14"/>
      <c r="F727" s="17" t="s">
        <v>624</v>
      </c>
      <c r="G727" s="18">
        <v>46342</v>
      </c>
    </row>
    <row r="728" spans="1:8">
      <c r="A728" s="14" t="s">
        <v>614</v>
      </c>
      <c r="B728" s="14" t="s">
        <v>615</v>
      </c>
      <c r="C728" s="15">
        <v>1</v>
      </c>
      <c r="D728" s="16">
        <v>6841</v>
      </c>
      <c r="E728" s="14"/>
      <c r="F728" s="17" t="s">
        <v>625</v>
      </c>
      <c r="G728" s="18">
        <v>35742</v>
      </c>
    </row>
    <row r="729" spans="1:8">
      <c r="A729" s="14" t="s">
        <v>614</v>
      </c>
      <c r="B729" s="14" t="s">
        <v>615</v>
      </c>
      <c r="C729" s="15">
        <v>0.3</v>
      </c>
      <c r="D729" s="16">
        <v>6708</v>
      </c>
      <c r="E729" s="14"/>
      <c r="F729" s="17" t="s">
        <v>626</v>
      </c>
      <c r="G729" s="18">
        <v>0</v>
      </c>
    </row>
    <row r="730" spans="1:8">
      <c r="A730" s="14" t="s">
        <v>614</v>
      </c>
      <c r="B730" s="14" t="s">
        <v>615</v>
      </c>
      <c r="C730" s="15">
        <v>1</v>
      </c>
      <c r="D730" s="16">
        <v>6781</v>
      </c>
      <c r="E730" s="14"/>
      <c r="F730" s="17" t="s">
        <v>627</v>
      </c>
      <c r="G730" s="19">
        <v>32532</v>
      </c>
    </row>
    <row r="731" spans="1:8">
      <c r="A731" s="14" t="s">
        <v>614</v>
      </c>
      <c r="B731" s="14" t="s">
        <v>615</v>
      </c>
      <c r="C731" s="15">
        <v>1</v>
      </c>
      <c r="D731" s="16">
        <v>6897</v>
      </c>
      <c r="E731" s="14"/>
      <c r="F731" s="17" t="s">
        <v>617</v>
      </c>
      <c r="G731" s="19">
        <v>0</v>
      </c>
    </row>
    <row r="732" spans="1:8">
      <c r="A732" s="14"/>
      <c r="B732" s="14"/>
      <c r="C732" s="15"/>
      <c r="D732" s="16"/>
      <c r="E732" s="14"/>
      <c r="F732" s="17"/>
      <c r="G732" s="20">
        <f>SUM(G716:G731)</f>
        <v>502735</v>
      </c>
      <c r="H732" s="3" t="s">
        <v>628</v>
      </c>
    </row>
    <row r="734" spans="1:8">
      <c r="C734" s="40">
        <f>SUM(C7:C733)</f>
        <v>374.88000000000011</v>
      </c>
      <c r="F734" s="8" t="s">
        <v>629</v>
      </c>
      <c r="G734" s="41">
        <f>G732+G712+G710+G708+G706+G704+G702+G700+G695+G689+G685+G679+G677+G675+G673+G671+G669+G667+G665+G663+G658+G653+G646+G644+G638+G612+G606+G600+G596+G594+G592+G590+G588+G383+G377+G367+G345+G341+G339+G337+G335+G333+G331+G329+G324+G317+G315+G313+G311+G302+G300+G298+G296+G294+G292+G290+G287+G282+G279+G277+G275+G267+G258+G252+G245+G241+G236+G229+G221+G215+G202+G170+G167+G164+G158+G156+G151+G145+G128+G121+G114+G108+G100+G105+G95+G89+G74+G65+G43+G25+G22+G14</f>
        <v>32821821.5</v>
      </c>
    </row>
    <row r="736" spans="1:8" ht="30.75">
      <c r="F736" s="42" t="s">
        <v>630</v>
      </c>
    </row>
    <row r="739" spans="6:7">
      <c r="F739" s="43">
        <v>32821821.5</v>
      </c>
      <c r="G739" s="44"/>
    </row>
    <row r="740" spans="6:7">
      <c r="F740" s="43">
        <f>G734</f>
        <v>32821821.5</v>
      </c>
    </row>
    <row r="741" spans="6:7">
      <c r="F741" s="43">
        <f>F739-F740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WhiteSpace="0" zoomScale="200" zoomScaleNormal="200" workbookViewId="0">
      <pane xSplit="2" ySplit="3" topLeftCell="K69" activePane="bottomRight" state="frozen"/>
      <selection activeCell="H28" sqref="H28"/>
      <selection pane="topRight" activeCell="H28" sqref="H28"/>
      <selection pane="bottomLeft" activeCell="H28" sqref="H28"/>
      <selection pane="bottomRight" activeCell="M24" sqref="M24"/>
    </sheetView>
  </sheetViews>
  <sheetFormatPr defaultColWidth="17.375" defaultRowHeight="15.75" customHeight="1"/>
  <cols>
    <col min="1" max="1" width="4.5" style="183" bestFit="1" customWidth="1"/>
    <col min="2" max="2" width="37" style="75" customWidth="1"/>
    <col min="3" max="3" width="12.875" style="75" customWidth="1"/>
    <col min="4" max="4" width="15.125" style="75" bestFit="1" customWidth="1"/>
    <col min="5" max="5" width="12.5" style="75" customWidth="1"/>
    <col min="6" max="6" width="8.5" style="75" bestFit="1" customWidth="1"/>
    <col min="7" max="7" width="12.5" style="75" customWidth="1"/>
    <col min="8" max="8" width="15.125" style="75" bestFit="1" customWidth="1"/>
    <col min="9" max="9" width="10.625" style="75" bestFit="1" customWidth="1"/>
    <col min="10" max="10" width="10" style="75" bestFit="1" customWidth="1"/>
    <col min="11" max="11" width="12.5" style="75" customWidth="1"/>
    <col min="12" max="12" width="15.125" style="75" bestFit="1" customWidth="1"/>
    <col min="13" max="13" width="10.625" style="75" bestFit="1" customWidth="1"/>
    <col min="14" max="14" width="10" style="75" bestFit="1" customWidth="1"/>
    <col min="15" max="15" width="13" style="75" customWidth="1"/>
    <col min="16" max="16" width="15.125" style="75" bestFit="1" customWidth="1"/>
    <col min="17" max="17" width="12" style="75" bestFit="1" customWidth="1"/>
    <col min="18" max="18" width="8.5" style="75" bestFit="1" customWidth="1"/>
    <col min="19" max="20" width="11.5" style="75" customWidth="1"/>
    <col min="21" max="21" width="10.125" style="75" bestFit="1" customWidth="1"/>
    <col min="22" max="16384" width="17.375" style="75"/>
  </cols>
  <sheetData>
    <row r="1" spans="1:19" ht="21.75">
      <c r="A1" s="69"/>
      <c r="B1" s="70" t="s">
        <v>642</v>
      </c>
      <c r="C1" s="71"/>
      <c r="D1" s="72"/>
      <c r="E1" s="73"/>
      <c r="F1" s="71"/>
      <c r="G1" s="71"/>
      <c r="H1" s="73"/>
      <c r="I1" s="71"/>
      <c r="J1" s="71"/>
      <c r="K1" s="71"/>
      <c r="L1" s="73"/>
      <c r="M1" s="71"/>
      <c r="N1" s="71"/>
      <c r="O1" s="74"/>
      <c r="P1" s="74"/>
    </row>
    <row r="2" spans="1:19" ht="22.5">
      <c r="A2" s="69"/>
      <c r="B2" s="76"/>
      <c r="C2" s="77" t="s">
        <v>643</v>
      </c>
      <c r="D2" s="77" t="s">
        <v>643</v>
      </c>
      <c r="E2" s="77" t="s">
        <v>643</v>
      </c>
      <c r="F2" s="77" t="s">
        <v>643</v>
      </c>
      <c r="G2" s="77" t="s">
        <v>644</v>
      </c>
      <c r="H2" s="77" t="s">
        <v>644</v>
      </c>
      <c r="I2" s="77" t="s">
        <v>644</v>
      </c>
      <c r="J2" s="77" t="s">
        <v>644</v>
      </c>
      <c r="K2" s="77" t="s">
        <v>645</v>
      </c>
      <c r="L2" s="77" t="s">
        <v>645</v>
      </c>
      <c r="M2" s="77" t="s">
        <v>645</v>
      </c>
      <c r="N2" s="77" t="s">
        <v>645</v>
      </c>
      <c r="O2" s="77" t="s">
        <v>9</v>
      </c>
      <c r="P2" s="77" t="s">
        <v>9</v>
      </c>
      <c r="Q2" s="77" t="s">
        <v>9</v>
      </c>
      <c r="R2" s="77" t="s">
        <v>9</v>
      </c>
    </row>
    <row r="3" spans="1:19" ht="22.5">
      <c r="A3" s="78" t="s">
        <v>646</v>
      </c>
      <c r="B3" s="79" t="s">
        <v>647</v>
      </c>
      <c r="C3" s="80" t="s">
        <v>648</v>
      </c>
      <c r="D3" s="80" t="s">
        <v>649</v>
      </c>
      <c r="E3" s="80" t="s">
        <v>650</v>
      </c>
      <c r="F3" s="81" t="s">
        <v>651</v>
      </c>
      <c r="G3" s="80" t="str">
        <f>C3</f>
        <v>2022-2023 Current</v>
      </c>
      <c r="H3" s="80" t="str">
        <f>D3</f>
        <v>2023-2024</v>
      </c>
      <c r="I3" s="80" t="s">
        <v>650</v>
      </c>
      <c r="J3" s="81" t="s">
        <v>651</v>
      </c>
      <c r="K3" s="80" t="str">
        <f>C3</f>
        <v>2022-2023 Current</v>
      </c>
      <c r="L3" s="80" t="str">
        <f>D3</f>
        <v>2023-2024</v>
      </c>
      <c r="M3" s="80" t="s">
        <v>650</v>
      </c>
      <c r="N3" s="81" t="s">
        <v>651</v>
      </c>
      <c r="O3" s="80" t="str">
        <f>C3</f>
        <v>2022-2023 Current</v>
      </c>
      <c r="P3" s="80" t="str">
        <f>D3</f>
        <v>2023-2024</v>
      </c>
      <c r="Q3" s="80" t="s">
        <v>650</v>
      </c>
      <c r="R3" s="81" t="s">
        <v>651</v>
      </c>
    </row>
    <row r="4" spans="1:19" ht="15.75" customHeight="1">
      <c r="A4" s="78">
        <v>1</v>
      </c>
      <c r="B4" s="82" t="s">
        <v>652</v>
      </c>
      <c r="C4" s="83">
        <f>C18+C30</f>
        <v>19990436.029765271</v>
      </c>
      <c r="D4" s="83">
        <f>D18+D30</f>
        <v>21664197.750724357</v>
      </c>
      <c r="E4" s="84">
        <f>E18+E30</f>
        <v>1673761.720959086</v>
      </c>
      <c r="F4" s="85">
        <f>D4/C4-1</f>
        <v>8.3728124712582286E-2</v>
      </c>
      <c r="G4" s="86">
        <f>G18+G30</f>
        <v>13183865.781066423</v>
      </c>
      <c r="H4" s="86">
        <f>H18+H30</f>
        <v>13687772.645738604</v>
      </c>
      <c r="I4" s="86">
        <f>I18+I30</f>
        <v>503906.86467218027</v>
      </c>
      <c r="J4" s="87">
        <f>H4/G4-1</f>
        <v>3.8221480181924283E-2</v>
      </c>
      <c r="K4" s="88">
        <f>K18+K30</f>
        <v>22109489.189168308</v>
      </c>
      <c r="L4" s="88">
        <f>L18+L30</f>
        <v>21017565.603537038</v>
      </c>
      <c r="M4" s="88">
        <f>M18+M30</f>
        <v>-1091923.58563127</v>
      </c>
      <c r="N4" s="89">
        <f>L4/K4-1</f>
        <v>-4.9387101451724869E-2</v>
      </c>
      <c r="O4" s="90">
        <f>SUM(C4,G4,K4)</f>
        <v>55283791</v>
      </c>
      <c r="P4" s="90">
        <f>SUM(D4,H4,L4)</f>
        <v>56369536</v>
      </c>
      <c r="Q4" s="91">
        <f>P4-O4</f>
        <v>1085745</v>
      </c>
      <c r="R4" s="92">
        <f>P4/O4-1</f>
        <v>1.963948167013374E-2</v>
      </c>
    </row>
    <row r="5" spans="1:19" ht="15.75" customHeight="1">
      <c r="A5" s="78">
        <f>A4+1</f>
        <v>2</v>
      </c>
      <c r="B5" s="82" t="s">
        <v>653</v>
      </c>
      <c r="C5" s="85">
        <f>ROUND(C4/C13,6)</f>
        <v>4.5799999999999999E-3</v>
      </c>
      <c r="D5" s="93">
        <f>ROUND(D4/D13,6)</f>
        <v>4.7130000000000002E-3</v>
      </c>
      <c r="E5" s="85">
        <f>D5-C5</f>
        <v>1.3300000000000031E-4</v>
      </c>
      <c r="F5" s="94">
        <f>E5*100/C5</f>
        <v>2.9039301310043735</v>
      </c>
      <c r="G5" s="87">
        <f>ROUND(G4/G13,6)</f>
        <v>6.0660000000000002E-3</v>
      </c>
      <c r="H5" s="87">
        <f>ROUND(H4/H13,6)</f>
        <v>4.9550000000000002E-3</v>
      </c>
      <c r="I5" s="87">
        <f>H5-G5</f>
        <v>-1.111E-3</v>
      </c>
      <c r="J5" s="95">
        <f>I5*100/G5</f>
        <v>-18.315199472469502</v>
      </c>
      <c r="K5" s="89">
        <f>ROUND(K4/K13,6)</f>
        <v>4.633E-3</v>
      </c>
      <c r="L5" s="89">
        <f>ROUND(L4/L13,6)</f>
        <v>4.3600000000000002E-3</v>
      </c>
      <c r="M5" s="89">
        <f>L5-K5</f>
        <v>-2.7299999999999981E-4</v>
      </c>
      <c r="N5" s="96">
        <f>M5*100/K5</f>
        <v>-5.8925102525361499</v>
      </c>
      <c r="O5" s="97">
        <f>ROUND(O4/O13,6)</f>
        <v>4.888E-3</v>
      </c>
      <c r="P5" s="97">
        <f>ROUND(P4/P13,6)</f>
        <v>4.6280000000000002E-3</v>
      </c>
      <c r="Q5" s="97">
        <f>P5-O5</f>
        <v>-2.5999999999999981E-4</v>
      </c>
      <c r="R5" s="98">
        <f>Q5*100/O5</f>
        <v>-5.3191489361702091</v>
      </c>
    </row>
    <row r="6" spans="1:19" ht="15.75" customHeight="1">
      <c r="A6" s="78">
        <f>A5+1</f>
        <v>3</v>
      </c>
      <c r="B6" s="82" t="s">
        <v>654</v>
      </c>
      <c r="C6" s="83">
        <f>C20</f>
        <v>1062825</v>
      </c>
      <c r="D6" s="83">
        <f>D20</f>
        <v>1062825</v>
      </c>
      <c r="E6" s="83">
        <v>419539</v>
      </c>
      <c r="F6" s="99">
        <f t="shared" ref="F6:F12" si="0">D6/C6-1</f>
        <v>0</v>
      </c>
      <c r="G6" s="100">
        <f>G20</f>
        <v>414200</v>
      </c>
      <c r="H6" s="101">
        <f>H20</f>
        <v>414200</v>
      </c>
      <c r="I6" s="102">
        <f>ROUND(H6-G6,2)</f>
        <v>0</v>
      </c>
      <c r="J6" s="103">
        <f t="shared" ref="J6:J12" si="1">H6/G6-1</f>
        <v>0</v>
      </c>
      <c r="K6" s="104">
        <f>K20</f>
        <v>800513</v>
      </c>
      <c r="L6" s="105">
        <f>L20</f>
        <v>800513</v>
      </c>
      <c r="M6" s="106">
        <f>ROUND(L6-K6,2)</f>
        <v>0</v>
      </c>
      <c r="N6" s="107">
        <f t="shared" ref="N6:N12" si="2">L6/K6-1</f>
        <v>0</v>
      </c>
      <c r="O6" s="98">
        <f>C6*C15+G6*G15+K6*K15</f>
        <v>803258.73255368404</v>
      </c>
      <c r="P6" s="98">
        <f>D6*D15+H6*H15+L6*L15</f>
        <v>807642.71831944503</v>
      </c>
      <c r="Q6" s="108">
        <f>ROUND(P6-O6,2)</f>
        <v>4383.99</v>
      </c>
      <c r="R6" s="92">
        <f t="shared" ref="R6:R12" si="3">P6/O6-1</f>
        <v>5.4577505205870569E-3</v>
      </c>
    </row>
    <row r="7" spans="1:19" ht="15.75" customHeight="1">
      <c r="A7" s="78">
        <v>4</v>
      </c>
      <c r="B7" s="109" t="s">
        <v>655</v>
      </c>
      <c r="C7" s="110">
        <f>C5*100</f>
        <v>0.45799999999999996</v>
      </c>
      <c r="D7" s="110">
        <f>D5*100</f>
        <v>0.4713</v>
      </c>
      <c r="E7" s="111">
        <f>D7-C7</f>
        <v>1.3300000000000034E-2</v>
      </c>
      <c r="F7" s="112">
        <f t="shared" si="0"/>
        <v>2.9039301310043841E-2</v>
      </c>
      <c r="G7" s="113">
        <f>G5*100</f>
        <v>0.60660000000000003</v>
      </c>
      <c r="H7" s="114">
        <f>H5*100</f>
        <v>0.4955</v>
      </c>
      <c r="I7" s="102">
        <f>H7-G7</f>
        <v>-0.11110000000000003</v>
      </c>
      <c r="J7" s="103">
        <f t="shared" si="1"/>
        <v>-0.18315199472469501</v>
      </c>
      <c r="K7" s="106">
        <f>K5*100</f>
        <v>0.46329999999999999</v>
      </c>
      <c r="L7" s="115">
        <f>L5*100</f>
        <v>0.436</v>
      </c>
      <c r="M7" s="106">
        <f>L7-K7</f>
        <v>-2.7299999999999991E-2</v>
      </c>
      <c r="N7" s="107">
        <f t="shared" si="2"/>
        <v>-5.8925102525361539E-2</v>
      </c>
      <c r="O7" s="116">
        <f>O5*100</f>
        <v>0.48880000000000001</v>
      </c>
      <c r="P7" s="116">
        <f>P5*100</f>
        <v>0.46279999999999999</v>
      </c>
      <c r="Q7" s="116">
        <f>P7-O7</f>
        <v>-2.6000000000000023E-2</v>
      </c>
      <c r="R7" s="92">
        <f t="shared" si="3"/>
        <v>-5.3191489361702149E-2</v>
      </c>
    </row>
    <row r="8" spans="1:19" ht="15.75" customHeight="1">
      <c r="A8" s="78">
        <v>5</v>
      </c>
      <c r="B8" s="82" t="str">
        <f>"Total School Tax Levy for Average Priced Home"</f>
        <v>Total School Tax Levy for Average Priced Home</v>
      </c>
      <c r="C8" s="111">
        <f>ROUND(C$5*C6,2)</f>
        <v>4867.74</v>
      </c>
      <c r="D8" s="117">
        <f>ROUND(D$5*D6,2)</f>
        <v>5009.09</v>
      </c>
      <c r="E8" s="111">
        <f>ROUND(D8-C8,2)</f>
        <v>141.35</v>
      </c>
      <c r="F8" s="112">
        <f t="shared" si="0"/>
        <v>2.9038116251073554E-2</v>
      </c>
      <c r="G8" s="102">
        <f>ROUND(G$5*G6,2)</f>
        <v>2512.54</v>
      </c>
      <c r="H8" s="118">
        <f>ROUND(H$5*H6,2)</f>
        <v>2052.36</v>
      </c>
      <c r="I8" s="102">
        <f>ROUND(H8-G8,2)</f>
        <v>-460.18</v>
      </c>
      <c r="J8" s="103">
        <f t="shared" si="1"/>
        <v>-0.18315330303199151</v>
      </c>
      <c r="K8" s="106">
        <f>ROUND(K$5*K6,2)</f>
        <v>3708.78</v>
      </c>
      <c r="L8" s="119">
        <f>ROUND(L$5*L6,2)</f>
        <v>3490.24</v>
      </c>
      <c r="M8" s="106">
        <f>ROUND(L8-K8,2)</f>
        <v>-218.54</v>
      </c>
      <c r="N8" s="107">
        <f t="shared" si="2"/>
        <v>-5.8925037343816711E-2</v>
      </c>
      <c r="O8" s="120">
        <f t="shared" ref="O8:P14" si="4">SUM(C8,G8,K8)</f>
        <v>11089.06</v>
      </c>
      <c r="P8" s="120">
        <f t="shared" si="4"/>
        <v>10551.69</v>
      </c>
      <c r="Q8" s="108">
        <f>ROUND(P8-O8,2)</f>
        <v>-537.37</v>
      </c>
      <c r="R8" s="92">
        <f t="shared" si="3"/>
        <v>-4.8459472669459713E-2</v>
      </c>
    </row>
    <row r="9" spans="1:19" ht="15.75" customHeight="1">
      <c r="A9" s="78">
        <v>6</v>
      </c>
      <c r="B9" s="82" t="s">
        <v>656</v>
      </c>
      <c r="C9" s="111">
        <f>ROUND(C$5*homepriceA,2)</f>
        <v>2290</v>
      </c>
      <c r="D9" s="111">
        <f>ROUND(D$5*homepriceA,2)</f>
        <v>2356.5</v>
      </c>
      <c r="E9" s="111">
        <f t="shared" ref="E9:E14" si="5">D9-C9</f>
        <v>66.5</v>
      </c>
      <c r="F9" s="112">
        <f t="shared" si="0"/>
        <v>2.9039301310043619E-2</v>
      </c>
      <c r="G9" s="102">
        <f>ROUND(G$5*homepriceA,2)</f>
        <v>3033</v>
      </c>
      <c r="H9" s="118">
        <f>ROUND(H$5*homepriceA,2)</f>
        <v>2477.5</v>
      </c>
      <c r="I9" s="102">
        <f t="shared" ref="I9:I14" si="6">H9-G9</f>
        <v>-555.5</v>
      </c>
      <c r="J9" s="103">
        <f t="shared" si="1"/>
        <v>-0.18315199472469501</v>
      </c>
      <c r="K9" s="106">
        <f>ROUND(K$5*homepriceA,2)</f>
        <v>2316.5</v>
      </c>
      <c r="L9" s="119">
        <f>ROUND(L$5*homepriceA,2)</f>
        <v>2180</v>
      </c>
      <c r="M9" s="106">
        <f t="shared" ref="M9:M14" si="7">L9-K9</f>
        <v>-136.5</v>
      </c>
      <c r="N9" s="107">
        <f t="shared" si="2"/>
        <v>-5.8925102525361539E-2</v>
      </c>
      <c r="O9" s="120">
        <f t="shared" si="4"/>
        <v>7639.5</v>
      </c>
      <c r="P9" s="120">
        <f t="shared" si="4"/>
        <v>7014</v>
      </c>
      <c r="Q9" s="108">
        <f t="shared" ref="Q9:Q14" si="8">P9-O9</f>
        <v>-625.5</v>
      </c>
      <c r="R9" s="92">
        <f t="shared" si="3"/>
        <v>-8.1877086196740612E-2</v>
      </c>
    </row>
    <row r="10" spans="1:19" ht="15.75" customHeight="1">
      <c r="A10" s="78">
        <f t="shared" ref="A10:A15" si="9">A9+1</f>
        <v>7</v>
      </c>
      <c r="B10" s="82" t="s">
        <v>657</v>
      </c>
      <c r="C10" s="111">
        <f>ROUND(C$5*homepriceB,2)</f>
        <v>3206</v>
      </c>
      <c r="D10" s="117">
        <f>ROUND(D$5*homepriceB,2)</f>
        <v>3299.1</v>
      </c>
      <c r="E10" s="111">
        <f t="shared" si="5"/>
        <v>93.099999999999909</v>
      </c>
      <c r="F10" s="112">
        <f t="shared" si="0"/>
        <v>2.9039301310043619E-2</v>
      </c>
      <c r="G10" s="102">
        <f>ROUND(G$5*homepriceB,2)</f>
        <v>4246.2</v>
      </c>
      <c r="H10" s="118">
        <f>ROUND(H$5*homepriceB,2)</f>
        <v>3468.5</v>
      </c>
      <c r="I10" s="102">
        <f t="shared" si="6"/>
        <v>-777.69999999999982</v>
      </c>
      <c r="J10" s="103">
        <f t="shared" si="1"/>
        <v>-0.18315199472469501</v>
      </c>
      <c r="K10" s="106">
        <f>ROUND(K$5*homepriceB,2)</f>
        <v>3243.1</v>
      </c>
      <c r="L10" s="119">
        <f>ROUND(L$5*homepriceB,2)</f>
        <v>3052</v>
      </c>
      <c r="M10" s="106">
        <f t="shared" si="7"/>
        <v>-191.09999999999991</v>
      </c>
      <c r="N10" s="107">
        <f t="shared" si="2"/>
        <v>-5.8925102525361539E-2</v>
      </c>
      <c r="O10" s="120">
        <f t="shared" si="4"/>
        <v>10695.3</v>
      </c>
      <c r="P10" s="120">
        <f t="shared" si="4"/>
        <v>9819.6</v>
      </c>
      <c r="Q10" s="108">
        <f t="shared" si="8"/>
        <v>-875.69999999999891</v>
      </c>
      <c r="R10" s="92">
        <f t="shared" si="3"/>
        <v>-8.1877086196740501E-2</v>
      </c>
    </row>
    <row r="11" spans="1:19" ht="15.75" customHeight="1">
      <c r="A11" s="78">
        <f t="shared" si="9"/>
        <v>8</v>
      </c>
      <c r="B11" s="82" t="s">
        <v>658</v>
      </c>
      <c r="C11" s="111">
        <f>ROUND(C$5*homepriceC,2)</f>
        <v>4122</v>
      </c>
      <c r="D11" s="117">
        <f>ROUND(D$5*homepriceC,2)</f>
        <v>4241.7</v>
      </c>
      <c r="E11" s="111">
        <f t="shared" si="5"/>
        <v>119.69999999999982</v>
      </c>
      <c r="F11" s="112">
        <f t="shared" si="0"/>
        <v>2.9039301310043619E-2</v>
      </c>
      <c r="G11" s="102">
        <f>ROUND(G$5*homepriceC,2)</f>
        <v>5459.4</v>
      </c>
      <c r="H11" s="118">
        <f>ROUND(H$5*homepriceC,2)</f>
        <v>4459.5</v>
      </c>
      <c r="I11" s="102">
        <f t="shared" si="6"/>
        <v>-999.89999999999964</v>
      </c>
      <c r="J11" s="103">
        <f t="shared" si="1"/>
        <v>-0.18315199472469501</v>
      </c>
      <c r="K11" s="106">
        <f>ROUND(K$5*homepriceC,2)</f>
        <v>4169.7</v>
      </c>
      <c r="L11" s="119">
        <f>ROUND(L$5*homepriceC,2)</f>
        <v>3924</v>
      </c>
      <c r="M11" s="106">
        <f t="shared" si="7"/>
        <v>-245.69999999999982</v>
      </c>
      <c r="N11" s="107">
        <f t="shared" si="2"/>
        <v>-5.8925102525361539E-2</v>
      </c>
      <c r="O11" s="120">
        <f t="shared" si="4"/>
        <v>13751.099999999999</v>
      </c>
      <c r="P11" s="120">
        <f t="shared" si="4"/>
        <v>12625.2</v>
      </c>
      <c r="Q11" s="108">
        <f t="shared" si="8"/>
        <v>-1125.8999999999978</v>
      </c>
      <c r="R11" s="92">
        <f t="shared" si="3"/>
        <v>-8.1877086196740501E-2</v>
      </c>
      <c r="S11" s="121"/>
    </row>
    <row r="12" spans="1:19" ht="15.75" customHeight="1">
      <c r="A12" s="78">
        <f t="shared" si="9"/>
        <v>9</v>
      </c>
      <c r="B12" s="82" t="s">
        <v>659</v>
      </c>
      <c r="C12" s="111">
        <f>ROUND(C$5*homepriceD,2)</f>
        <v>5038</v>
      </c>
      <c r="D12" s="117">
        <f>ROUND(D$5*homepriceD,2)</f>
        <v>5184.3</v>
      </c>
      <c r="E12" s="111">
        <f t="shared" si="5"/>
        <v>146.30000000000018</v>
      </c>
      <c r="F12" s="112">
        <f t="shared" si="0"/>
        <v>2.9039301310043619E-2</v>
      </c>
      <c r="G12" s="102">
        <f>ROUND(G$5*homepriceD,2)</f>
        <v>6672.6</v>
      </c>
      <c r="H12" s="118">
        <f>ROUND(H$5*homepriceD,2)</f>
        <v>5450.5</v>
      </c>
      <c r="I12" s="102">
        <f t="shared" si="6"/>
        <v>-1222.1000000000004</v>
      </c>
      <c r="J12" s="103">
        <f t="shared" si="1"/>
        <v>-0.18315199472469501</v>
      </c>
      <c r="K12" s="106">
        <f>ROUND(K$5*homepriceD,2)</f>
        <v>5096.3</v>
      </c>
      <c r="L12" s="119">
        <f>ROUND(L$5*homepriceD,2)</f>
        <v>4796</v>
      </c>
      <c r="M12" s="106">
        <f t="shared" si="7"/>
        <v>-300.30000000000018</v>
      </c>
      <c r="N12" s="107">
        <f t="shared" si="2"/>
        <v>-5.8925102525361539E-2</v>
      </c>
      <c r="O12" s="120">
        <f t="shared" si="4"/>
        <v>16806.900000000001</v>
      </c>
      <c r="P12" s="120">
        <f t="shared" si="4"/>
        <v>15430.8</v>
      </c>
      <c r="Q12" s="108">
        <f t="shared" si="8"/>
        <v>-1376.1000000000022</v>
      </c>
      <c r="R12" s="92">
        <f t="shared" si="3"/>
        <v>-8.1877086196740723E-2</v>
      </c>
    </row>
    <row r="13" spans="1:19" ht="15.75" customHeight="1">
      <c r="A13" s="78">
        <f t="shared" si="9"/>
        <v>10</v>
      </c>
      <c r="B13" s="82" t="s">
        <v>660</v>
      </c>
      <c r="C13" s="122">
        <v>4365160800</v>
      </c>
      <c r="D13" s="122">
        <v>4596357587</v>
      </c>
      <c r="E13" s="117">
        <f t="shared" si="5"/>
        <v>231196787</v>
      </c>
      <c r="F13" s="112">
        <f>ROUND(D13/C13-1,4)</f>
        <v>5.2999999999999999E-2</v>
      </c>
      <c r="G13" s="123">
        <v>2173541643</v>
      </c>
      <c r="H13" s="123">
        <v>2762157381</v>
      </c>
      <c r="I13" s="118">
        <f t="shared" si="6"/>
        <v>588615738</v>
      </c>
      <c r="J13" s="103">
        <f>ROUND(H13/G13-1,4)</f>
        <v>0.27079999999999999</v>
      </c>
      <c r="K13" s="124">
        <v>4771800100</v>
      </c>
      <c r="L13" s="124">
        <v>4820974035</v>
      </c>
      <c r="M13" s="119">
        <f t="shared" si="7"/>
        <v>49173935</v>
      </c>
      <c r="N13" s="107">
        <f>ROUND(L13/K13-1,4)</f>
        <v>1.03E-2</v>
      </c>
      <c r="O13" s="120">
        <f t="shared" si="4"/>
        <v>11310502543</v>
      </c>
      <c r="P13" s="120">
        <f t="shared" si="4"/>
        <v>12179489003</v>
      </c>
      <c r="Q13" s="125">
        <f t="shared" si="8"/>
        <v>868986460</v>
      </c>
      <c r="R13" s="126">
        <f>Q13/O13</f>
        <v>7.6830048593889436E-2</v>
      </c>
    </row>
    <row r="14" spans="1:19" ht="15.75" customHeight="1">
      <c r="A14" s="78">
        <f t="shared" si="9"/>
        <v>11</v>
      </c>
      <c r="B14" s="82" t="s">
        <v>661</v>
      </c>
      <c r="C14" s="122">
        <v>4365160800</v>
      </c>
      <c r="D14" s="122">
        <f>D13</f>
        <v>4596357587</v>
      </c>
      <c r="E14" s="117">
        <f t="shared" si="5"/>
        <v>231196787</v>
      </c>
      <c r="F14" s="112">
        <f>ROUND(D14/C14-1,4)</f>
        <v>5.2999999999999999E-2</v>
      </c>
      <c r="G14" s="123">
        <f>G13</f>
        <v>2173541643</v>
      </c>
      <c r="H14" s="123">
        <f>H13</f>
        <v>2762157381</v>
      </c>
      <c r="I14" s="118">
        <f t="shared" si="6"/>
        <v>588615738</v>
      </c>
      <c r="J14" s="103">
        <f>ROUND(H14/G14-1,4)</f>
        <v>0.27079999999999999</v>
      </c>
      <c r="K14" s="124">
        <v>4731896000</v>
      </c>
      <c r="L14" s="124">
        <f>L13</f>
        <v>4820974035</v>
      </c>
      <c r="M14" s="119">
        <f t="shared" si="7"/>
        <v>89078035</v>
      </c>
      <c r="N14" s="107">
        <f>ROUND(L14/K14-1,4)</f>
        <v>1.8800000000000001E-2</v>
      </c>
      <c r="O14" s="120">
        <f t="shared" si="4"/>
        <v>11270598443</v>
      </c>
      <c r="P14" s="120">
        <f t="shared" si="4"/>
        <v>12179489003</v>
      </c>
      <c r="Q14" s="125">
        <f t="shared" si="8"/>
        <v>908890560</v>
      </c>
      <c r="R14" s="126">
        <f>Q14/O14</f>
        <v>8.0642617567880645E-2</v>
      </c>
    </row>
    <row r="15" spans="1:19" ht="15.75" customHeight="1">
      <c r="A15" s="78">
        <f t="shared" si="9"/>
        <v>12</v>
      </c>
      <c r="B15" s="82" t="s">
        <v>662</v>
      </c>
      <c r="C15" s="127">
        <v>0.36166418500000003</v>
      </c>
      <c r="D15" s="127">
        <v>0.384973921</v>
      </c>
      <c r="E15" s="127">
        <f>ROUND(E14/SUM(E14,J14,M14),6)</f>
        <v>0.72187000000000001</v>
      </c>
      <c r="F15" s="112">
        <f>D15-C15</f>
        <v>2.330973599999997E-2</v>
      </c>
      <c r="G15" s="128">
        <v>0.23846757199999999</v>
      </c>
      <c r="H15" s="128">
        <v>0.242946939</v>
      </c>
      <c r="I15" s="118"/>
      <c r="J15" s="103">
        <f>H15-G15</f>
        <v>4.4793670000000119E-3</v>
      </c>
      <c r="K15" s="129">
        <v>0.39986824300000001</v>
      </c>
      <c r="L15" s="129">
        <v>0.37207913999999997</v>
      </c>
      <c r="M15" s="119"/>
      <c r="N15" s="107">
        <f>L15-K15</f>
        <v>-2.7789103000000037E-2</v>
      </c>
      <c r="O15" s="130">
        <f>ROUND(O13/SUM(O13,T13),10)</f>
        <v>1</v>
      </c>
      <c r="P15" s="130">
        <f>ROUND(P13/SUM(P13,U13),10)</f>
        <v>1</v>
      </c>
      <c r="Q15" s="131"/>
      <c r="R15" s="131"/>
    </row>
    <row r="16" spans="1:19" ht="15.75" customHeight="1">
      <c r="A16" s="69"/>
      <c r="C16" s="132"/>
      <c r="D16" s="133"/>
      <c r="E16" s="134"/>
      <c r="F16" s="73"/>
      <c r="G16" s="132"/>
      <c r="H16" s="133"/>
      <c r="I16" s="135"/>
      <c r="J16" s="73"/>
      <c r="K16" s="133"/>
      <c r="L16" s="132">
        <v>21456363</v>
      </c>
      <c r="M16" s="135">
        <f>L16-L18</f>
        <v>1066710.396462962</v>
      </c>
      <c r="N16" s="73"/>
      <c r="O16" s="133"/>
      <c r="P16" s="133"/>
    </row>
    <row r="17" spans="1:22" ht="22.5">
      <c r="A17" s="69"/>
      <c r="B17" s="136" t="s">
        <v>663</v>
      </c>
      <c r="C17" s="77" t="s">
        <v>643</v>
      </c>
      <c r="D17" s="77" t="s">
        <v>643</v>
      </c>
      <c r="E17" s="77" t="s">
        <v>643</v>
      </c>
      <c r="F17" s="77" t="s">
        <v>643</v>
      </c>
      <c r="G17" s="77" t="s">
        <v>644</v>
      </c>
      <c r="H17" s="77" t="s">
        <v>644</v>
      </c>
      <c r="I17" s="77" t="s">
        <v>644</v>
      </c>
      <c r="J17" s="77" t="s">
        <v>644</v>
      </c>
      <c r="K17" s="77" t="s">
        <v>645</v>
      </c>
      <c r="L17" s="77" t="s">
        <v>645</v>
      </c>
      <c r="M17" s="77" t="s">
        <v>645</v>
      </c>
      <c r="N17" s="77" t="s">
        <v>645</v>
      </c>
      <c r="O17" s="77" t="s">
        <v>9</v>
      </c>
      <c r="P17" s="77" t="s">
        <v>9</v>
      </c>
      <c r="Q17" s="77" t="s">
        <v>9</v>
      </c>
      <c r="R17" s="77" t="s">
        <v>9</v>
      </c>
      <c r="S17" s="137"/>
    </row>
    <row r="18" spans="1:22" ht="15.75" customHeight="1">
      <c r="A18" s="78">
        <f>A15+1</f>
        <v>13</v>
      </c>
      <c r="B18" s="82" t="s">
        <v>664</v>
      </c>
      <c r="C18" s="117">
        <f>C$15*$O18</f>
        <v>19430315.029765271</v>
      </c>
      <c r="D18" s="117">
        <f>D$15*$P18</f>
        <v>21096276.750724357</v>
      </c>
      <c r="E18" s="117">
        <f>D18-C18</f>
        <v>1665961.720959086</v>
      </c>
      <c r="F18" s="138">
        <f t="shared" ref="F18:F26" si="10">D18/C18-1</f>
        <v>8.5740335059261819E-2</v>
      </c>
      <c r="G18" s="118">
        <f>G$15*$O18</f>
        <v>12811608.781066423</v>
      </c>
      <c r="H18" s="118">
        <f>H$15*$P18</f>
        <v>13313306.645738604</v>
      </c>
      <c r="I18" s="118">
        <f>H18-G18</f>
        <v>501697.86467218027</v>
      </c>
      <c r="J18" s="103">
        <f t="shared" ref="J18:J26" si="11">H18/G18-1</f>
        <v>3.9159630398144296E-2</v>
      </c>
      <c r="K18" s="119">
        <f>K$15*$O18</f>
        <v>21482818.189168308</v>
      </c>
      <c r="L18" s="119">
        <f>L$15*$P18</f>
        <v>20389652.603537038</v>
      </c>
      <c r="M18" s="119">
        <f>L18-K18</f>
        <v>-1093165.58563127</v>
      </c>
      <c r="N18" s="107">
        <f t="shared" ref="N18:N26" si="12">L18/K18-1</f>
        <v>-5.088557637109492E-2</v>
      </c>
      <c r="O18" s="139">
        <v>53724742</v>
      </c>
      <c r="P18" s="140">
        <f>ROUNDDOWN(O18*(1+TaxLevy_pct),0)</f>
        <v>54799236</v>
      </c>
      <c r="Q18" s="91">
        <f>P18-O18</f>
        <v>1074494</v>
      </c>
      <c r="R18" s="92">
        <f t="shared" ref="R18:R26" si="13">P18/O18-1</f>
        <v>1.9999984364745815E-2</v>
      </c>
      <c r="S18" s="141"/>
      <c r="T18" s="142"/>
    </row>
    <row r="19" spans="1:22" ht="15.75" customHeight="1">
      <c r="A19" s="78">
        <f>A18+1</f>
        <v>14</v>
      </c>
      <c r="B19" s="82" t="s">
        <v>665</v>
      </c>
      <c r="C19" s="143">
        <f>ROUND(C18/C13,6)</f>
        <v>4.4510000000000001E-3</v>
      </c>
      <c r="D19" s="143">
        <f>ROUND(D18/D13,6)</f>
        <v>4.5900000000000003E-3</v>
      </c>
      <c r="E19" s="85">
        <f>D19-C19</f>
        <v>1.3900000000000023E-4</v>
      </c>
      <c r="F19" s="112">
        <f t="shared" si="10"/>
        <v>3.1228937317456795E-2</v>
      </c>
      <c r="G19" s="144">
        <f>ROUND(G18/G13,6)</f>
        <v>5.8939999999999999E-3</v>
      </c>
      <c r="H19" s="144">
        <f>ROUND(H18/H13,6)</f>
        <v>4.8199999999999996E-3</v>
      </c>
      <c r="I19" s="87">
        <f>H19-G19</f>
        <v>-1.0740000000000003E-3</v>
      </c>
      <c r="J19" s="103">
        <f t="shared" si="11"/>
        <v>-0.18221920597217511</v>
      </c>
      <c r="K19" s="145">
        <f>ROUND(K18/K13,6)</f>
        <v>4.5019999999999999E-3</v>
      </c>
      <c r="L19" s="145">
        <f>ROUND(L18/L13,6)</f>
        <v>4.2290000000000001E-3</v>
      </c>
      <c r="M19" s="89">
        <f>L19-K19</f>
        <v>-2.7299999999999981E-4</v>
      </c>
      <c r="N19" s="107">
        <f t="shared" si="12"/>
        <v>-6.063971568191906E-2</v>
      </c>
      <c r="O19" s="146">
        <f>ROUND(O18/O13,6)</f>
        <v>4.7499999999999999E-3</v>
      </c>
      <c r="P19" s="146">
        <f>ROUND(P18/P13,6)</f>
        <v>4.4990000000000004E-3</v>
      </c>
      <c r="Q19" s="97">
        <f>P19-O19</f>
        <v>-2.5099999999999949E-4</v>
      </c>
      <c r="R19" s="92">
        <f t="shared" si="13"/>
        <v>-5.2842105263157801E-2</v>
      </c>
      <c r="S19" s="74"/>
      <c r="T19" s="147"/>
      <c r="U19" s="137"/>
    </row>
    <row r="20" spans="1:22" ht="15.75" customHeight="1">
      <c r="A20" s="78">
        <f>A19+1</f>
        <v>15</v>
      </c>
      <c r="B20" s="82" t="s">
        <v>654</v>
      </c>
      <c r="C20" s="84">
        <f>D20</f>
        <v>1062825</v>
      </c>
      <c r="D20" s="84">
        <v>1062825</v>
      </c>
      <c r="E20" s="84">
        <f>D20-C20</f>
        <v>0</v>
      </c>
      <c r="F20" s="112">
        <f t="shared" si="10"/>
        <v>0</v>
      </c>
      <c r="G20" s="95">
        <f>H20</f>
        <v>414200</v>
      </c>
      <c r="H20" s="95">
        <v>414200</v>
      </c>
      <c r="I20" s="95">
        <f>ROUND(H20-G20,2)</f>
        <v>0</v>
      </c>
      <c r="J20" s="103">
        <f t="shared" si="11"/>
        <v>0</v>
      </c>
      <c r="K20" s="96">
        <f>L20</f>
        <v>800513</v>
      </c>
      <c r="L20" s="96">
        <v>800513</v>
      </c>
      <c r="M20" s="96">
        <f>ROUND(L20-K20,2)</f>
        <v>0</v>
      </c>
      <c r="N20" s="107">
        <f t="shared" si="12"/>
        <v>0</v>
      </c>
      <c r="O20" s="91">
        <f>O6</f>
        <v>803258.73255368404</v>
      </c>
      <c r="P20" s="91">
        <f>P6</f>
        <v>807642.71831944503</v>
      </c>
      <c r="Q20" s="98">
        <f>ROUND(P20-O20,2)</f>
        <v>4383.99</v>
      </c>
      <c r="R20" s="92">
        <f t="shared" si="13"/>
        <v>5.4577505205870569E-3</v>
      </c>
      <c r="S20" s="148"/>
      <c r="T20" s="149"/>
      <c r="U20" s="150"/>
    </row>
    <row r="21" spans="1:22" ht="15.75" customHeight="1">
      <c r="A21" s="78">
        <v>16</v>
      </c>
      <c r="B21" s="109" t="s">
        <v>666</v>
      </c>
      <c r="C21" s="111">
        <f>ROUND(100*C$19,4)</f>
        <v>0.4451</v>
      </c>
      <c r="D21" s="151">
        <f>ROUND(100*D$19,4)</f>
        <v>0.45900000000000002</v>
      </c>
      <c r="E21" s="151">
        <f>D21-C21</f>
        <v>1.3900000000000023E-2</v>
      </c>
      <c r="F21" s="152">
        <f t="shared" si="10"/>
        <v>3.1228937317456795E-2</v>
      </c>
      <c r="G21" s="153">
        <f>ROUND(100*G$19,4)</f>
        <v>0.58940000000000003</v>
      </c>
      <c r="H21" s="153">
        <f>ROUND(100*H$19,4)</f>
        <v>0.48199999999999998</v>
      </c>
      <c r="I21" s="153">
        <f>H21-G21</f>
        <v>-0.10740000000000005</v>
      </c>
      <c r="J21" s="154">
        <f t="shared" si="11"/>
        <v>-0.18221920597217522</v>
      </c>
      <c r="K21" s="115">
        <f>ROUND(100*K$19,4)</f>
        <v>0.45019999999999999</v>
      </c>
      <c r="L21" s="115">
        <f>ROUND(100*L$19,4)</f>
        <v>0.4229</v>
      </c>
      <c r="M21" s="115">
        <f>L21-K21</f>
        <v>-2.7299999999999991E-2</v>
      </c>
      <c r="N21" s="155">
        <f t="shared" si="12"/>
        <v>-6.0639715681919171E-2</v>
      </c>
      <c r="O21" s="156">
        <f>C21*C$15+G21*G$15+K21*K$15</f>
        <v>0.48155019867890003</v>
      </c>
      <c r="P21" s="156">
        <f>D21*D$15+H21*H$15+L21*L$15</f>
        <v>0.45115572264299997</v>
      </c>
      <c r="Q21" s="157">
        <f>P21-O21</f>
        <v>-3.0394476035900064E-2</v>
      </c>
      <c r="R21" s="92">
        <f t="shared" si="13"/>
        <v>-6.3117980470748902E-2</v>
      </c>
      <c r="S21" s="158"/>
      <c r="U21" s="158"/>
    </row>
    <row r="22" spans="1:22" ht="15.75" customHeight="1">
      <c r="A22" s="78">
        <v>17</v>
      </c>
      <c r="B22" s="109" t="str">
        <f>"General Fund Tax for Average Priced Home"</f>
        <v>General Fund Tax for Average Priced Home</v>
      </c>
      <c r="C22" s="117">
        <f>ROUND(C20*C$19,2)</f>
        <v>4730.63</v>
      </c>
      <c r="D22" s="117">
        <f>ROUND(D20*D$19,2)</f>
        <v>4878.37</v>
      </c>
      <c r="E22" s="117">
        <f>ROUND(D22-C22,2)</f>
        <v>147.74</v>
      </c>
      <c r="F22" s="138">
        <f t="shared" si="10"/>
        <v>3.1230512637851593E-2</v>
      </c>
      <c r="G22" s="118">
        <f>ROUND(G20*G$19,2)</f>
        <v>2441.29</v>
      </c>
      <c r="H22" s="118">
        <f>ROUND(H20*H$19,2)</f>
        <v>1996.44</v>
      </c>
      <c r="I22" s="118">
        <f>ROUND(H22-G22,2)</f>
        <v>-444.85</v>
      </c>
      <c r="J22" s="103">
        <f t="shared" si="11"/>
        <v>-0.18221923655116756</v>
      </c>
      <c r="K22" s="119">
        <f>ROUND(K20*K$19,2)</f>
        <v>3603.91</v>
      </c>
      <c r="L22" s="119">
        <f>ROUND(L20*L$19,2)</f>
        <v>3385.37</v>
      </c>
      <c r="M22" s="159">
        <f>ROUND(L22-K22,2)</f>
        <v>-218.54</v>
      </c>
      <c r="N22" s="107">
        <f t="shared" si="12"/>
        <v>-6.0639694110008246E-2</v>
      </c>
      <c r="O22" s="156">
        <f>C22*C$15+G22*G$15+K22*K$15</f>
        <v>3734.1571019645598</v>
      </c>
      <c r="P22" s="156">
        <f>D22*D$15+H22*H$15+L22*L$15</f>
        <v>3622.69977206773</v>
      </c>
      <c r="Q22" s="156">
        <f>ROUND(P22-O22,2)</f>
        <v>-111.46</v>
      </c>
      <c r="R22" s="92">
        <f t="shared" si="13"/>
        <v>-2.9848055894110992E-2</v>
      </c>
      <c r="S22" s="158"/>
      <c r="T22" s="158"/>
      <c r="U22" s="158"/>
    </row>
    <row r="23" spans="1:22" ht="15.75" customHeight="1">
      <c r="A23" s="78">
        <v>18</v>
      </c>
      <c r="B23" s="109" t="s">
        <v>667</v>
      </c>
      <c r="C23" s="117">
        <f>ROUND(homepriceA*C$19,2)</f>
        <v>2225.5</v>
      </c>
      <c r="D23" s="117">
        <f>ROUND(homepriceA*D$19,2)</f>
        <v>2295</v>
      </c>
      <c r="E23" s="117">
        <f>D23-C23</f>
        <v>69.5</v>
      </c>
      <c r="F23" s="138">
        <f t="shared" si="10"/>
        <v>3.1228937317456795E-2</v>
      </c>
      <c r="G23" s="118">
        <f>ROUND(homepriceA*G$19,2)</f>
        <v>2947</v>
      </c>
      <c r="H23" s="118">
        <f>ROUND(homepriceA*H$19,2)</f>
        <v>2410</v>
      </c>
      <c r="I23" s="118">
        <f>H23-G23</f>
        <v>-537</v>
      </c>
      <c r="J23" s="103">
        <f t="shared" si="11"/>
        <v>-0.18221920597217511</v>
      </c>
      <c r="K23" s="119">
        <f>ROUND(homepriceA*K$19,2)</f>
        <v>2251</v>
      </c>
      <c r="L23" s="119">
        <f>ROUND(homepriceA*L$19,2)</f>
        <v>2114.5</v>
      </c>
      <c r="M23" s="119">
        <f>L23-K23</f>
        <v>-136.5</v>
      </c>
      <c r="N23" s="107">
        <f t="shared" si="12"/>
        <v>-6.0639715681919171E-2</v>
      </c>
      <c r="O23" s="156">
        <f t="shared" ref="O23:P26" si="14">C23*C$15+G23*G$15+K23*K$15</f>
        <v>2407.7509933945003</v>
      </c>
      <c r="P23" s="156">
        <f t="shared" si="14"/>
        <v>2255.778613215</v>
      </c>
      <c r="Q23" s="156">
        <f>P23-O23</f>
        <v>-151.97238017950031</v>
      </c>
      <c r="R23" s="92">
        <f t="shared" si="13"/>
        <v>-6.3117980470748902E-2</v>
      </c>
      <c r="S23" s="158"/>
    </row>
    <row r="24" spans="1:22" ht="15.75" customHeight="1">
      <c r="A24" s="78">
        <f>A23+1</f>
        <v>19</v>
      </c>
      <c r="B24" s="109" t="s">
        <v>668</v>
      </c>
      <c r="C24" s="117">
        <f>ROUND(homepriceB*C$19,2)</f>
        <v>3115.7</v>
      </c>
      <c r="D24" s="117">
        <f>ROUND(homepriceB*D$19,2)</f>
        <v>3213</v>
      </c>
      <c r="E24" s="117">
        <f>D24-C24</f>
        <v>97.300000000000182</v>
      </c>
      <c r="F24" s="138">
        <f t="shared" si="10"/>
        <v>3.1228937317456795E-2</v>
      </c>
      <c r="G24" s="118">
        <f>ROUND(homepriceB*G$19,2)</f>
        <v>4125.8</v>
      </c>
      <c r="H24" s="118">
        <f>ROUND(homepriceB*H$19,2)</f>
        <v>3374</v>
      </c>
      <c r="I24" s="118">
        <f>H24-G24</f>
        <v>-751.80000000000018</v>
      </c>
      <c r="J24" s="103">
        <f t="shared" si="11"/>
        <v>-0.18221920597217511</v>
      </c>
      <c r="K24" s="119">
        <f>ROUND(homepriceB*K$19,2)</f>
        <v>3151.4</v>
      </c>
      <c r="L24" s="119">
        <f>ROUND(homepriceB*L$19,2)</f>
        <v>2960.3</v>
      </c>
      <c r="M24" s="119">
        <f>L24-K24</f>
        <v>-191.09999999999991</v>
      </c>
      <c r="N24" s="107">
        <f t="shared" si="12"/>
        <v>-6.0639715681919171E-2</v>
      </c>
      <c r="O24" s="156">
        <f t="shared" si="14"/>
        <v>3370.8513907523002</v>
      </c>
      <c r="P24" s="156">
        <f t="shared" si="14"/>
        <v>3158.0900585010004</v>
      </c>
      <c r="Q24" s="156">
        <f>P24-O24</f>
        <v>-212.76133225129979</v>
      </c>
      <c r="R24" s="92">
        <f t="shared" si="13"/>
        <v>-6.311798047074868E-2</v>
      </c>
      <c r="S24" s="158"/>
      <c r="T24" s="158"/>
      <c r="U24" s="158"/>
    </row>
    <row r="25" spans="1:22" ht="15.75" customHeight="1">
      <c r="A25" s="78">
        <f>A24+1</f>
        <v>20</v>
      </c>
      <c r="B25" s="109" t="s">
        <v>669</v>
      </c>
      <c r="C25" s="117">
        <f>ROUND(homepriceC*C$19,2)</f>
        <v>4005.9</v>
      </c>
      <c r="D25" s="117">
        <f>ROUND(homepriceC*D$19,2)</f>
        <v>4131</v>
      </c>
      <c r="E25" s="117">
        <f>D25-C25</f>
        <v>125.09999999999991</v>
      </c>
      <c r="F25" s="138">
        <f t="shared" si="10"/>
        <v>3.1228937317456795E-2</v>
      </c>
      <c r="G25" s="118">
        <f>ROUND(homepriceC*G$19,2)</f>
        <v>5304.6</v>
      </c>
      <c r="H25" s="118">
        <f>ROUND(homepriceC*H$19,2)</f>
        <v>4338</v>
      </c>
      <c r="I25" s="118">
        <f>H25-G25</f>
        <v>-966.60000000000036</v>
      </c>
      <c r="J25" s="103">
        <f t="shared" si="11"/>
        <v>-0.18221920597217511</v>
      </c>
      <c r="K25" s="119">
        <f>ROUND(homepriceC*K$19,2)</f>
        <v>4051.8</v>
      </c>
      <c r="L25" s="119">
        <f>ROUND(homepriceC*L$19,2)</f>
        <v>3806.1</v>
      </c>
      <c r="M25" s="119">
        <f>L25-K25</f>
        <v>-245.70000000000027</v>
      </c>
      <c r="N25" s="107">
        <f t="shared" si="12"/>
        <v>-6.0639715681919171E-2</v>
      </c>
      <c r="O25" s="156">
        <f t="shared" si="14"/>
        <v>4333.9517881101001</v>
      </c>
      <c r="P25" s="156">
        <f t="shared" si="14"/>
        <v>4060.4015037869999</v>
      </c>
      <c r="Q25" s="156">
        <f>P25-O25</f>
        <v>-273.55028432310019</v>
      </c>
      <c r="R25" s="92">
        <f t="shared" si="13"/>
        <v>-6.3117980470748791E-2</v>
      </c>
      <c r="S25" s="158"/>
      <c r="T25" s="158"/>
      <c r="U25" s="158"/>
    </row>
    <row r="26" spans="1:22" ht="15.75" customHeight="1">
      <c r="A26" s="78">
        <f>A25+1</f>
        <v>21</v>
      </c>
      <c r="B26" s="109" t="s">
        <v>670</v>
      </c>
      <c r="C26" s="117">
        <f>ROUND(homepriceD*C$19,2)</f>
        <v>4896.1000000000004</v>
      </c>
      <c r="D26" s="117">
        <f>ROUND(homepriceD*D$19,2)</f>
        <v>5049</v>
      </c>
      <c r="E26" s="117">
        <f>D26-C26</f>
        <v>152.89999999999964</v>
      </c>
      <c r="F26" s="112">
        <f t="shared" si="10"/>
        <v>3.1228937317456573E-2</v>
      </c>
      <c r="G26" s="118">
        <f>ROUND(homepriceD*G$19,2)</f>
        <v>6483.4</v>
      </c>
      <c r="H26" s="118">
        <f>ROUND(homepriceD*H$19,2)</f>
        <v>5302</v>
      </c>
      <c r="I26" s="118">
        <f>H26-G26</f>
        <v>-1181.3999999999996</v>
      </c>
      <c r="J26" s="103">
        <f t="shared" si="11"/>
        <v>-0.182219205972175</v>
      </c>
      <c r="K26" s="119">
        <f>ROUND(homepriceD*K$19,2)</f>
        <v>4952.2</v>
      </c>
      <c r="L26" s="119">
        <f>ROUND(homepriceD*L$19,2)</f>
        <v>4651.8999999999996</v>
      </c>
      <c r="M26" s="119">
        <f>L26-K26</f>
        <v>-300.30000000000018</v>
      </c>
      <c r="N26" s="107">
        <f t="shared" si="12"/>
        <v>-6.0639715681919171E-2</v>
      </c>
      <c r="O26" s="156">
        <f t="shared" si="14"/>
        <v>5297.0521854679</v>
      </c>
      <c r="P26" s="156">
        <f t="shared" si="14"/>
        <v>4962.7129490729994</v>
      </c>
      <c r="Q26" s="156">
        <f>P26-O26</f>
        <v>-334.33923639490058</v>
      </c>
      <c r="R26" s="92">
        <f t="shared" si="13"/>
        <v>-6.3117980470748902E-2</v>
      </c>
      <c r="U26" s="158"/>
      <c r="V26" s="160"/>
    </row>
    <row r="27" spans="1:22" ht="15.75" customHeight="1">
      <c r="A27" s="69"/>
      <c r="C27" s="161"/>
      <c r="D27" s="73"/>
      <c r="E27" s="73"/>
      <c r="F27" s="73"/>
      <c r="G27" s="162">
        <f>G16-G18</f>
        <v>-12811608.781066423</v>
      </c>
      <c r="H27" s="73"/>
      <c r="I27" s="73"/>
      <c r="J27" s="73"/>
      <c r="K27" s="161"/>
      <c r="L27" s="73"/>
      <c r="M27" s="73"/>
      <c r="N27" s="73"/>
      <c r="O27" s="136"/>
      <c r="S27" s="158"/>
      <c r="T27" s="158"/>
    </row>
    <row r="28" spans="1:22" ht="15.75" customHeight="1">
      <c r="A28" s="69"/>
      <c r="B28" s="136" t="s">
        <v>671</v>
      </c>
      <c r="C28" s="77" t="s">
        <v>643</v>
      </c>
      <c r="D28" s="77" t="s">
        <v>643</v>
      </c>
      <c r="E28" s="77" t="s">
        <v>643</v>
      </c>
      <c r="F28" s="77" t="s">
        <v>643</v>
      </c>
      <c r="G28" s="77" t="s">
        <v>644</v>
      </c>
      <c r="H28" s="77" t="s">
        <v>644</v>
      </c>
      <c r="I28" s="77" t="s">
        <v>644</v>
      </c>
      <c r="J28" s="77" t="s">
        <v>644</v>
      </c>
      <c r="K28" s="77" t="s">
        <v>645</v>
      </c>
      <c r="L28" s="77" t="s">
        <v>645</v>
      </c>
      <c r="M28" s="77" t="s">
        <v>645</v>
      </c>
      <c r="N28" s="77" t="s">
        <v>645</v>
      </c>
      <c r="O28" s="77" t="s">
        <v>9</v>
      </c>
      <c r="P28" s="77" t="s">
        <v>9</v>
      </c>
      <c r="Q28" s="77" t="s">
        <v>9</v>
      </c>
      <c r="R28" s="77" t="s">
        <v>9</v>
      </c>
      <c r="S28" s="158"/>
      <c r="T28" s="158"/>
    </row>
    <row r="29" spans="1:22" ht="15.75" customHeight="1">
      <c r="A29" s="78">
        <f>A26+1</f>
        <v>22</v>
      </c>
      <c r="B29" s="82" t="s">
        <v>672</v>
      </c>
      <c r="C29" s="117">
        <f>C$15*$O29</f>
        <v>567921.26970549999</v>
      </c>
      <c r="D29" s="117">
        <f>D$15*$P29</f>
        <v>606545.66123155004</v>
      </c>
      <c r="E29" s="117">
        <f>D29-C29</f>
        <v>38624.391526050051</v>
      </c>
      <c r="F29" s="163"/>
      <c r="G29" s="118">
        <f>G$15*$O29</f>
        <v>374465.62831159995</v>
      </c>
      <c r="H29" s="118">
        <f>H$15*$P29</f>
        <v>382775.04974145</v>
      </c>
      <c r="I29" s="118">
        <f>H29-G29</f>
        <v>8309.4214298500447</v>
      </c>
      <c r="J29" s="164">
        <f t="shared" ref="J29:J38" si="15">H29/G29-1</f>
        <v>2.2190077811188536E-2</v>
      </c>
      <c r="K29" s="119">
        <f>K$15*$O29</f>
        <v>627913.10198290006</v>
      </c>
      <c r="L29" s="119">
        <f>L$15*$P29</f>
        <v>586229.28902699996</v>
      </c>
      <c r="M29" s="119">
        <f>L29-K29</f>
        <v>-41683.812955900095</v>
      </c>
      <c r="N29" s="165">
        <f t="shared" ref="N29:N38" si="16">L29/K29-1</f>
        <v>-6.6384684161336804E-2</v>
      </c>
      <c r="O29" s="156">
        <v>1570300</v>
      </c>
      <c r="P29" s="156">
        <v>1575550</v>
      </c>
      <c r="Q29" s="156">
        <f>P29-O29</f>
        <v>5250</v>
      </c>
      <c r="R29" s="166">
        <f t="shared" ref="R29:R38" si="17">P29/O29-1</f>
        <v>3.3433101955040456E-3</v>
      </c>
    </row>
    <row r="30" spans="1:22" ht="12" customHeight="1">
      <c r="A30" s="78">
        <f t="shared" ref="A30:A38" si="18">A29+1</f>
        <v>23</v>
      </c>
      <c r="B30" s="82" t="s">
        <v>673</v>
      </c>
      <c r="C30" s="117">
        <v>560121</v>
      </c>
      <c r="D30" s="117">
        <v>567921</v>
      </c>
      <c r="E30" s="117">
        <f>D30-C30</f>
        <v>7800</v>
      </c>
      <c r="F30" s="167">
        <f t="shared" ref="F30:F38" si="19">D30/C30-1</f>
        <v>1.3925562512385747E-2</v>
      </c>
      <c r="G30" s="118">
        <v>372257</v>
      </c>
      <c r="H30" s="118">
        <v>374466</v>
      </c>
      <c r="I30" s="118">
        <f>H30-G30</f>
        <v>2209</v>
      </c>
      <c r="J30" s="164">
        <f t="shared" si="15"/>
        <v>5.9340724284566715E-3</v>
      </c>
      <c r="K30" s="119">
        <v>626671</v>
      </c>
      <c r="L30" s="119">
        <v>627913</v>
      </c>
      <c r="M30" s="119">
        <f>L30-K30</f>
        <v>1242</v>
      </c>
      <c r="N30" s="165">
        <f t="shared" si="16"/>
        <v>1.9819011889812277E-3</v>
      </c>
      <c r="O30" s="168">
        <f>SUM(C30,G30,K30)</f>
        <v>1559049</v>
      </c>
      <c r="P30" s="168">
        <f>SUM(D30,H30,L30)</f>
        <v>1570300</v>
      </c>
      <c r="Q30" s="91">
        <f>P30-O30</f>
        <v>11251</v>
      </c>
      <c r="R30" s="169">
        <f t="shared" si="17"/>
        <v>7.2165788246552065E-3</v>
      </c>
      <c r="S30" s="137"/>
    </row>
    <row r="31" spans="1:22" ht="15.75" customHeight="1">
      <c r="A31" s="78">
        <f t="shared" si="18"/>
        <v>24</v>
      </c>
      <c r="B31" s="82" t="s">
        <v>674</v>
      </c>
      <c r="C31" s="170">
        <f>ROUND(C30/C13,6)</f>
        <v>1.2799999999999999E-4</v>
      </c>
      <c r="D31" s="170">
        <f>ROUND(D30/D13,6)</f>
        <v>1.2400000000000001E-4</v>
      </c>
      <c r="E31" s="170">
        <f>D31-C31</f>
        <v>-3.9999999999999888E-6</v>
      </c>
      <c r="F31" s="171">
        <f t="shared" si="19"/>
        <v>-3.1249999999999889E-2</v>
      </c>
      <c r="G31" s="172">
        <f>ROUND(G30/G13,6)</f>
        <v>1.7100000000000001E-4</v>
      </c>
      <c r="H31" s="172">
        <f>ROUND(H30/H13,6)</f>
        <v>1.36E-4</v>
      </c>
      <c r="I31" s="172">
        <f>H31-G31</f>
        <v>-3.500000000000001E-5</v>
      </c>
      <c r="J31" s="103">
        <f t="shared" si="15"/>
        <v>-0.20467836257309946</v>
      </c>
      <c r="K31" s="173">
        <f>ROUND(K30/K13,6)</f>
        <v>1.3100000000000001E-4</v>
      </c>
      <c r="L31" s="173">
        <f>ROUND(L30/L13,6)</f>
        <v>1.2999999999999999E-4</v>
      </c>
      <c r="M31" s="173">
        <f>L31-K31</f>
        <v>-1.0000000000000243E-6</v>
      </c>
      <c r="N31" s="107">
        <f t="shared" si="16"/>
        <v>-7.6335877862597767E-3</v>
      </c>
      <c r="O31" s="174">
        <f>ROUND(O30/O13,6)</f>
        <v>1.3799999999999999E-4</v>
      </c>
      <c r="P31" s="174">
        <f>ROUND(P30/P13,6)</f>
        <v>1.2899999999999999E-4</v>
      </c>
      <c r="Q31" s="174">
        <f>P31-O31</f>
        <v>-9.0000000000000019E-6</v>
      </c>
      <c r="R31" s="175">
        <f t="shared" si="17"/>
        <v>-6.5217391304347894E-2</v>
      </c>
      <c r="S31" s="176"/>
      <c r="T31" s="137"/>
    </row>
    <row r="32" spans="1:22" ht="15.75" customHeight="1">
      <c r="A32" s="78">
        <f t="shared" si="18"/>
        <v>25</v>
      </c>
      <c r="B32" s="82" t="s">
        <v>654</v>
      </c>
      <c r="C32" s="177">
        <f>C20</f>
        <v>1062825</v>
      </c>
      <c r="D32" s="177">
        <f>D20</f>
        <v>1062825</v>
      </c>
      <c r="E32" s="177">
        <f>D32-C32</f>
        <v>0</v>
      </c>
      <c r="F32" s="171">
        <f t="shared" si="19"/>
        <v>0</v>
      </c>
      <c r="G32" s="95">
        <f>G20</f>
        <v>414200</v>
      </c>
      <c r="H32" s="95">
        <f>H20</f>
        <v>414200</v>
      </c>
      <c r="I32" s="95">
        <f>ROUND(H32-G32,2)</f>
        <v>0</v>
      </c>
      <c r="J32" s="103">
        <f t="shared" si="15"/>
        <v>0</v>
      </c>
      <c r="K32" s="96">
        <f>K20</f>
        <v>800513</v>
      </c>
      <c r="L32" s="96">
        <f>L20</f>
        <v>800513</v>
      </c>
      <c r="M32" s="96">
        <f>ROUND(L32-K32,2)</f>
        <v>0</v>
      </c>
      <c r="N32" s="107">
        <f t="shared" si="16"/>
        <v>0</v>
      </c>
      <c r="O32" s="98">
        <f>O6</f>
        <v>803258.73255368404</v>
      </c>
      <c r="P32" s="98">
        <f>P6</f>
        <v>807642.71831944503</v>
      </c>
      <c r="Q32" s="98">
        <f>ROUND(P32-O32,2)</f>
        <v>4383.99</v>
      </c>
      <c r="R32" s="175">
        <f t="shared" si="17"/>
        <v>5.4577505205870569E-3</v>
      </c>
      <c r="T32" s="178"/>
    </row>
    <row r="33" spans="1:27" ht="15.75" customHeight="1">
      <c r="A33" s="78">
        <f t="shared" si="18"/>
        <v>26</v>
      </c>
      <c r="B33" s="109" t="s">
        <v>675</v>
      </c>
      <c r="C33" s="111">
        <f>ROUND(100*C$31,2)</f>
        <v>0.01</v>
      </c>
      <c r="D33" s="111">
        <f>ROUND(100*D$31,2)</f>
        <v>0.01</v>
      </c>
      <c r="E33" s="177">
        <f>ROUND(D33-C33,2)</f>
        <v>0</v>
      </c>
      <c r="F33" s="179">
        <f t="shared" si="19"/>
        <v>0</v>
      </c>
      <c r="G33" s="102">
        <f>ROUND(100*G$31,2)</f>
        <v>0.02</v>
      </c>
      <c r="H33" s="102">
        <f>ROUND(100*H$31,2)</f>
        <v>0.01</v>
      </c>
      <c r="I33" s="95">
        <f>ROUND(H33-G33,2)</f>
        <v>-0.01</v>
      </c>
      <c r="J33" s="180">
        <f t="shared" si="15"/>
        <v>-0.5</v>
      </c>
      <c r="K33" s="106">
        <f>ROUND(100*K$31,2)</f>
        <v>0.01</v>
      </c>
      <c r="L33" s="106">
        <f>ROUND(100*L$31,2)</f>
        <v>0.01</v>
      </c>
      <c r="M33" s="96">
        <f>ROUND(L33-K33,2)</f>
        <v>0</v>
      </c>
      <c r="N33" s="181">
        <f t="shared" si="16"/>
        <v>0</v>
      </c>
      <c r="O33" s="156">
        <f>ROUND(O$32*O$31,2)</f>
        <v>110.85</v>
      </c>
      <c r="P33" s="156">
        <f>ROUND(P$32*P$31,2)</f>
        <v>104.19</v>
      </c>
      <c r="Q33" s="98">
        <f>ROUND(P33-O33,2)</f>
        <v>-6.66</v>
      </c>
      <c r="R33" s="175">
        <f t="shared" si="17"/>
        <v>-6.008119079837615E-2</v>
      </c>
      <c r="V33" s="182"/>
      <c r="Z33" s="75">
        <v>1.3129999999999999E-2</v>
      </c>
      <c r="AA33" s="75">
        <f>Z35*AA34</f>
        <v>52.822909099999997</v>
      </c>
    </row>
    <row r="34" spans="1:27" ht="15.75" customHeight="1">
      <c r="A34" s="78">
        <f t="shared" si="18"/>
        <v>27</v>
      </c>
      <c r="B34" s="82" t="s">
        <v>676</v>
      </c>
      <c r="C34" s="111">
        <f>ROUND(C32*C$31,2)</f>
        <v>136.04</v>
      </c>
      <c r="D34" s="111">
        <f>ROUND(D32*D$31,2)</f>
        <v>131.79</v>
      </c>
      <c r="E34" s="177">
        <f>D34-C34</f>
        <v>-4.25</v>
      </c>
      <c r="F34" s="179">
        <f t="shared" si="19"/>
        <v>-3.1240811526021761E-2</v>
      </c>
      <c r="G34" s="118">
        <f>ROUND(G32*G$31,2)</f>
        <v>70.83</v>
      </c>
      <c r="H34" s="118">
        <f>ROUND(H32*H$31,2)</f>
        <v>56.33</v>
      </c>
      <c r="I34" s="95">
        <f>H34-G34</f>
        <v>-14.5</v>
      </c>
      <c r="J34" s="180">
        <f t="shared" si="15"/>
        <v>-0.20471551602428351</v>
      </c>
      <c r="K34" s="119">
        <f>ROUND(K32*K$31,2)</f>
        <v>104.87</v>
      </c>
      <c r="L34" s="119">
        <f>ROUND(L32*L$31,2)</f>
        <v>104.07</v>
      </c>
      <c r="M34" s="96">
        <f>L34-K34</f>
        <v>-0.80000000000001137</v>
      </c>
      <c r="N34" s="181">
        <f t="shared" si="16"/>
        <v>-7.6284924191857284E-3</v>
      </c>
      <c r="O34" s="156">
        <v>1.3899999999999999E-2</v>
      </c>
      <c r="P34" s="156">
        <v>1.3999999999999999E-2</v>
      </c>
      <c r="Q34" s="98">
        <f>P34-O34</f>
        <v>9.9999999999999395E-5</v>
      </c>
      <c r="R34" s="175">
        <f t="shared" si="17"/>
        <v>7.194244604316502E-3</v>
      </c>
      <c r="Z34" s="75">
        <v>100</v>
      </c>
      <c r="AA34" s="75">
        <v>402307</v>
      </c>
    </row>
    <row r="35" spans="1:27" ht="15.75" customHeight="1">
      <c r="A35" s="78">
        <f t="shared" si="18"/>
        <v>28</v>
      </c>
      <c r="B35" s="82" t="s">
        <v>677</v>
      </c>
      <c r="C35" s="111">
        <f>ROUND(homepriceA*C$31,2)</f>
        <v>64</v>
      </c>
      <c r="D35" s="117">
        <f>ROUND(homepriceA*D$31,2)</f>
        <v>62</v>
      </c>
      <c r="E35" s="177">
        <f>D35-C35</f>
        <v>-2</v>
      </c>
      <c r="F35" s="179">
        <f t="shared" si="19"/>
        <v>-3.125E-2</v>
      </c>
      <c r="G35" s="118">
        <f>ROUND(homepriceA*G$31,2)</f>
        <v>85.5</v>
      </c>
      <c r="H35" s="118">
        <f>ROUND(homepriceA*H$31,2)</f>
        <v>68</v>
      </c>
      <c r="I35" s="95">
        <f>H35-G35</f>
        <v>-17.5</v>
      </c>
      <c r="J35" s="180">
        <f t="shared" si="15"/>
        <v>-0.20467836257309946</v>
      </c>
      <c r="K35" s="119">
        <f>ROUND(homepriceA*K$31,2)</f>
        <v>65.5</v>
      </c>
      <c r="L35" s="119">
        <f>ROUND(homepriceA*L$31,2)</f>
        <v>65</v>
      </c>
      <c r="M35" s="96">
        <f>L35-K35</f>
        <v>-0.5</v>
      </c>
      <c r="N35" s="181">
        <f t="shared" si="16"/>
        <v>-7.6335877862595547E-3</v>
      </c>
      <c r="O35" s="156">
        <v>48.65</v>
      </c>
      <c r="P35" s="156">
        <v>48.999999999999993</v>
      </c>
      <c r="Q35" s="98">
        <f>P35-O35</f>
        <v>0.34999999999999432</v>
      </c>
      <c r="R35" s="175">
        <f t="shared" si="17"/>
        <v>7.194244604316502E-3</v>
      </c>
      <c r="Z35" s="75">
        <f>Z33/Z34</f>
        <v>1.3129999999999999E-4</v>
      </c>
    </row>
    <row r="36" spans="1:27" ht="15.75" customHeight="1">
      <c r="A36" s="78">
        <f t="shared" si="18"/>
        <v>29</v>
      </c>
      <c r="B36" s="82" t="s">
        <v>678</v>
      </c>
      <c r="C36" s="111">
        <f>ROUND(homepriceB*C$31,2)</f>
        <v>89.6</v>
      </c>
      <c r="D36" s="117">
        <f>ROUND(homepriceB*D$31,2)</f>
        <v>86.8</v>
      </c>
      <c r="E36" s="177">
        <f>D36-C36</f>
        <v>-2.7999999999999972</v>
      </c>
      <c r="F36" s="179">
        <f t="shared" si="19"/>
        <v>-3.125E-2</v>
      </c>
      <c r="G36" s="118">
        <f>ROUND(homepriceB*G$31,2)</f>
        <v>119.7</v>
      </c>
      <c r="H36" s="118">
        <f>ROUND(homepriceB*H$31,2)</f>
        <v>95.2</v>
      </c>
      <c r="I36" s="95">
        <f>H36-G36</f>
        <v>-24.5</v>
      </c>
      <c r="J36" s="180">
        <f t="shared" si="15"/>
        <v>-0.20467836257309946</v>
      </c>
      <c r="K36" s="119">
        <f>ROUND(homepriceB*K$31,2)</f>
        <v>91.7</v>
      </c>
      <c r="L36" s="119">
        <f>ROUND(homepriceB*L$31,2)</f>
        <v>91</v>
      </c>
      <c r="M36" s="96">
        <f>L36-K36</f>
        <v>-0.70000000000000284</v>
      </c>
      <c r="N36" s="181">
        <f t="shared" si="16"/>
        <v>-7.6335877862595547E-3</v>
      </c>
      <c r="O36" s="156">
        <v>55.599999999999994</v>
      </c>
      <c r="P36" s="156">
        <v>55.999999999999993</v>
      </c>
      <c r="Q36" s="98">
        <f>P36-O36</f>
        <v>0.39999999999999858</v>
      </c>
      <c r="R36" s="175">
        <f t="shared" si="17"/>
        <v>7.194244604316502E-3</v>
      </c>
    </row>
    <row r="37" spans="1:27" ht="15.75" customHeight="1">
      <c r="A37" s="78">
        <f t="shared" si="18"/>
        <v>30</v>
      </c>
      <c r="B37" s="82" t="s">
        <v>679</v>
      </c>
      <c r="C37" s="111">
        <f>ROUND(homepriceC*C$31,2)</f>
        <v>115.2</v>
      </c>
      <c r="D37" s="117">
        <f>ROUND(homepriceC*D$31,2)</f>
        <v>111.6</v>
      </c>
      <c r="E37" s="177">
        <f>D37-C37</f>
        <v>-3.6000000000000085</v>
      </c>
      <c r="F37" s="179">
        <f t="shared" si="19"/>
        <v>-3.1250000000000111E-2</v>
      </c>
      <c r="G37" s="118">
        <f>ROUND(homepriceC*G$31,2)</f>
        <v>153.9</v>
      </c>
      <c r="H37" s="118">
        <f>ROUND(homepriceC*H$31,2)</f>
        <v>122.4</v>
      </c>
      <c r="I37" s="95">
        <f>H37-G37</f>
        <v>-31.5</v>
      </c>
      <c r="J37" s="180">
        <f t="shared" si="15"/>
        <v>-0.20467836257309946</v>
      </c>
      <c r="K37" s="119">
        <f>ROUND(homepriceC*K$31,2)</f>
        <v>117.9</v>
      </c>
      <c r="L37" s="119">
        <f>ROUND(homepriceC*L$31,2)</f>
        <v>117</v>
      </c>
      <c r="M37" s="96">
        <f>L37-K37</f>
        <v>-0.90000000000000568</v>
      </c>
      <c r="N37" s="181">
        <f t="shared" si="16"/>
        <v>-7.6335877862595547E-3</v>
      </c>
      <c r="O37" s="156">
        <v>62.55</v>
      </c>
      <c r="P37" s="156">
        <v>62.999999999999993</v>
      </c>
      <c r="Q37" s="98">
        <f>P37-O37</f>
        <v>0.44999999999999574</v>
      </c>
      <c r="R37" s="175">
        <f t="shared" si="17"/>
        <v>7.194244604316502E-3</v>
      </c>
      <c r="V37" s="182"/>
    </row>
    <row r="38" spans="1:27" ht="15.75" customHeight="1">
      <c r="A38" s="78">
        <f t="shared" si="18"/>
        <v>31</v>
      </c>
      <c r="B38" s="82" t="s">
        <v>680</v>
      </c>
      <c r="C38" s="111">
        <f>ROUND(homepriceD*C$31,2)</f>
        <v>140.80000000000001</v>
      </c>
      <c r="D38" s="117">
        <f>ROUND(homepriceD*D$31,2)</f>
        <v>136.4</v>
      </c>
      <c r="E38" s="177">
        <f>D38-C38</f>
        <v>-4.4000000000000057</v>
      </c>
      <c r="F38" s="179">
        <f t="shared" si="19"/>
        <v>-3.125E-2</v>
      </c>
      <c r="G38" s="118">
        <f>ROUND(homepriceD*G$31,2)</f>
        <v>188.1</v>
      </c>
      <c r="H38" s="118">
        <f>ROUND(homepriceD*H$31,2)</f>
        <v>149.6</v>
      </c>
      <c r="I38" s="95">
        <f>H38-G38</f>
        <v>-38.5</v>
      </c>
      <c r="J38" s="180">
        <f t="shared" si="15"/>
        <v>-0.20467836257309946</v>
      </c>
      <c r="K38" s="119">
        <f>ROUND(homepriceD*K$31,2)</f>
        <v>144.1</v>
      </c>
      <c r="L38" s="119">
        <f>ROUND(homepriceD*L$31,2)</f>
        <v>143</v>
      </c>
      <c r="M38" s="96">
        <f>L38-K38</f>
        <v>-1.0999999999999943</v>
      </c>
      <c r="N38" s="181">
        <f t="shared" si="16"/>
        <v>-7.6335877862595547E-3</v>
      </c>
      <c r="O38" s="156">
        <v>69.5</v>
      </c>
      <c r="P38" s="156">
        <v>70</v>
      </c>
      <c r="Q38" s="98">
        <f>P38-O38</f>
        <v>0.5</v>
      </c>
      <c r="R38" s="175">
        <f t="shared" si="17"/>
        <v>7.194244604316502E-3</v>
      </c>
    </row>
    <row r="39" spans="1:27" ht="15.75" customHeight="1">
      <c r="V39" s="182"/>
    </row>
    <row r="40" spans="1:27" ht="15.75" customHeight="1">
      <c r="C40" s="184"/>
      <c r="D40" s="184"/>
      <c r="O40" s="184"/>
      <c r="P40" s="184"/>
    </row>
    <row r="41" spans="1:27" ht="15.75" customHeight="1">
      <c r="C41" s="183"/>
      <c r="D41" s="183"/>
      <c r="E41" s="183"/>
      <c r="F41" s="183"/>
    </row>
    <row r="42" spans="1:27" ht="15.75" customHeight="1">
      <c r="B42" s="185" t="s">
        <v>681</v>
      </c>
      <c r="C42" s="183"/>
      <c r="D42" s="183"/>
      <c r="E42" s="183"/>
      <c r="F42" s="183"/>
    </row>
    <row r="43" spans="1:27" ht="15.75" customHeight="1">
      <c r="C43" s="186"/>
      <c r="D43" s="186"/>
      <c r="E43" s="186"/>
      <c r="F43" s="187"/>
    </row>
    <row r="44" spans="1:27" ht="15.75" customHeight="1">
      <c r="B44" s="188" t="s">
        <v>682</v>
      </c>
      <c r="C44" s="189">
        <v>0.02</v>
      </c>
      <c r="D44" s="186"/>
      <c r="E44" s="186"/>
      <c r="F44" s="186"/>
    </row>
    <row r="45" spans="1:27" ht="15.75" customHeight="1">
      <c r="B45" s="188" t="s">
        <v>683</v>
      </c>
      <c r="C45" s="190">
        <v>0</v>
      </c>
      <c r="D45" s="186"/>
      <c r="E45" s="186"/>
      <c r="F45" s="186"/>
    </row>
    <row r="46" spans="1:27" ht="15.75" customHeight="1">
      <c r="B46" s="188" t="s">
        <v>684</v>
      </c>
      <c r="C46" s="189">
        <f>SUM(C44:C45)</f>
        <v>0.02</v>
      </c>
      <c r="D46" s="186"/>
      <c r="E46" s="186"/>
      <c r="F46" s="186"/>
    </row>
    <row r="47" spans="1:27" ht="15.75" customHeight="1">
      <c r="B47" s="191"/>
      <c r="C47" s="192"/>
      <c r="D47" s="193"/>
      <c r="E47" s="193"/>
      <c r="F47" s="193"/>
    </row>
    <row r="48" spans="1:27" ht="15.75" customHeight="1">
      <c r="B48" s="191"/>
      <c r="C48" s="191"/>
    </row>
    <row r="49" spans="1:6" ht="15.75" customHeight="1">
      <c r="A49" s="75"/>
      <c r="B49" s="188" t="s">
        <v>685</v>
      </c>
      <c r="C49" s="194">
        <v>500000</v>
      </c>
      <c r="D49" s="186"/>
      <c r="E49" s="186">
        <f>E44-D44</f>
        <v>0</v>
      </c>
      <c r="F49" s="187"/>
    </row>
    <row r="50" spans="1:6" ht="15.75" customHeight="1">
      <c r="A50" s="75"/>
      <c r="B50" s="188" t="s">
        <v>686</v>
      </c>
      <c r="C50" s="194">
        <v>700000</v>
      </c>
      <c r="D50" s="186"/>
      <c r="E50" s="186"/>
      <c r="F50" s="186"/>
    </row>
    <row r="51" spans="1:6" ht="15.75" customHeight="1">
      <c r="A51" s="75"/>
      <c r="B51" s="188" t="s">
        <v>687</v>
      </c>
      <c r="C51" s="194">
        <v>900000</v>
      </c>
      <c r="D51" s="186"/>
      <c r="E51" s="186"/>
      <c r="F51" s="186"/>
    </row>
    <row r="52" spans="1:6" ht="15.75" customHeight="1">
      <c r="A52" s="75"/>
      <c r="B52" s="188" t="s">
        <v>688</v>
      </c>
      <c r="C52" s="194">
        <v>1100000</v>
      </c>
      <c r="D52" s="186"/>
      <c r="E52" s="186"/>
      <c r="F52" s="186"/>
    </row>
    <row r="53" spans="1:6" ht="15.75" customHeight="1">
      <c r="A53" s="75"/>
      <c r="C53" s="186"/>
      <c r="D53" s="193"/>
      <c r="E53" s="193"/>
      <c r="F53" s="193"/>
    </row>
    <row r="54" spans="1:6" ht="15.75" customHeight="1">
      <c r="A54" s="75"/>
    </row>
  </sheetData>
  <printOptions horizontalCentered="1"/>
  <pageMargins left="0.45" right="0.45" top="0.25" bottom="0.25" header="0.3" footer="0.3"/>
  <pageSetup orientation="portrait" r:id="rId1"/>
  <colBreaks count="2" manualBreakCount="2">
    <brk id="10" max="1048575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8" zoomScaleNormal="100" workbookViewId="0">
      <selection activeCell="C13" sqref="C13"/>
    </sheetView>
  </sheetViews>
  <sheetFormatPr defaultColWidth="10.875" defaultRowHeight="21"/>
  <cols>
    <col min="1" max="1" width="44.375" style="61" bestFit="1" customWidth="1"/>
    <col min="2" max="4" width="16.375" style="45" bestFit="1" customWidth="1"/>
    <col min="5" max="5" width="14.875" style="45" bestFit="1" customWidth="1"/>
    <col min="6" max="6" width="13.125" style="45" bestFit="1" customWidth="1"/>
    <col min="7" max="16384" width="10.875" style="45"/>
  </cols>
  <sheetData>
    <row r="1" spans="1:6">
      <c r="A1" s="63" t="s">
        <v>641</v>
      </c>
      <c r="B1" s="51" t="s">
        <v>8</v>
      </c>
      <c r="F1" s="50" t="s">
        <v>698</v>
      </c>
    </row>
    <row r="2" spans="1:6">
      <c r="A2" s="62" t="s">
        <v>631</v>
      </c>
      <c r="B2" s="47">
        <v>3.3000000000000002E-2</v>
      </c>
      <c r="D2" s="46" t="s">
        <v>696</v>
      </c>
      <c r="E2" s="52">
        <v>427000</v>
      </c>
      <c r="F2" s="59">
        <f>E2/C12</f>
        <v>7.9515828677839857E-3</v>
      </c>
    </row>
    <row r="3" spans="1:6">
      <c r="A3" s="62" t="s">
        <v>632</v>
      </c>
      <c r="B3" s="237">
        <v>2.8000000000000001E-2</v>
      </c>
      <c r="D3" s="50" t="s">
        <v>697</v>
      </c>
      <c r="E3" s="52">
        <v>0</v>
      </c>
      <c r="F3" s="58">
        <f>E3/C12</f>
        <v>0</v>
      </c>
    </row>
    <row r="4" spans="1:6">
      <c r="A4" s="62" t="s">
        <v>694</v>
      </c>
      <c r="B4" s="237">
        <v>0.1</v>
      </c>
      <c r="D4" s="46" t="s">
        <v>699</v>
      </c>
      <c r="E4" s="66">
        <f>SUM(E2:E3)</f>
        <v>427000</v>
      </c>
      <c r="F4" s="241">
        <f>SUM(F2:F3)</f>
        <v>7.9515828677839857E-3</v>
      </c>
    </row>
    <row r="5" spans="1:6">
      <c r="A5" s="62" t="s">
        <v>12</v>
      </c>
      <c r="B5" s="238">
        <v>0.1</v>
      </c>
      <c r="E5" s="66"/>
    </row>
    <row r="6" spans="1:6">
      <c r="A6" s="62" t="s">
        <v>639</v>
      </c>
      <c r="B6" s="237">
        <v>0.11</v>
      </c>
      <c r="D6" s="46" t="s">
        <v>700</v>
      </c>
      <c r="E6" s="52">
        <v>300000</v>
      </c>
      <c r="F6" s="59">
        <f>E6/C12</f>
        <v>5.5865921787709499E-3</v>
      </c>
    </row>
    <row r="7" spans="1:6">
      <c r="A7" s="62" t="s">
        <v>13</v>
      </c>
      <c r="B7" s="237">
        <v>0.06</v>
      </c>
    </row>
    <row r="8" spans="1:6">
      <c r="A8" s="62" t="s">
        <v>690</v>
      </c>
      <c r="B8" s="239">
        <v>0.06</v>
      </c>
    </row>
    <row r="9" spans="1:6">
      <c r="B9" s="66"/>
      <c r="C9" s="57"/>
    </row>
    <row r="10" spans="1:6">
      <c r="A10" s="63" t="s">
        <v>0</v>
      </c>
      <c r="B10" s="57"/>
      <c r="C10" s="66"/>
    </row>
    <row r="11" spans="1:6">
      <c r="B11" s="51" t="s">
        <v>6</v>
      </c>
      <c r="C11" s="51" t="s">
        <v>4</v>
      </c>
      <c r="D11" s="51" t="s">
        <v>5</v>
      </c>
      <c r="E11" s="51" t="s">
        <v>7</v>
      </c>
      <c r="F11" s="51" t="s">
        <v>8</v>
      </c>
    </row>
    <row r="12" spans="1:6">
      <c r="A12" s="62" t="s">
        <v>1</v>
      </c>
      <c r="B12" s="52">
        <v>51887660</v>
      </c>
      <c r="C12" s="52">
        <v>53700000</v>
      </c>
      <c r="D12" s="52">
        <f>ROUNDUP(C12*(1+TaxLevy_pct),0)</f>
        <v>55203600</v>
      </c>
      <c r="E12" s="195">
        <f t="shared" ref="E12:E18" si="0">D12-C12</f>
        <v>1503600</v>
      </c>
      <c r="F12" s="59">
        <f>E12/C12</f>
        <v>2.8000000000000001E-2</v>
      </c>
    </row>
    <row r="13" spans="1:6">
      <c r="A13" s="62" t="s">
        <v>2</v>
      </c>
      <c r="B13" s="52">
        <v>796216</v>
      </c>
      <c r="C13" s="196">
        <v>800000</v>
      </c>
      <c r="D13" s="52">
        <f>ROUNDUP(C13,0)</f>
        <v>800000</v>
      </c>
      <c r="E13" s="52">
        <f t="shared" si="0"/>
        <v>0</v>
      </c>
      <c r="F13" s="59">
        <f t="shared" ref="F13:F17" si="1">E13/C13</f>
        <v>0</v>
      </c>
    </row>
    <row r="14" spans="1:6">
      <c r="A14" s="62" t="s">
        <v>3</v>
      </c>
      <c r="B14" s="52">
        <v>2500000</v>
      </c>
      <c r="C14" s="52">
        <v>2900000</v>
      </c>
      <c r="D14" s="52">
        <f>ROUNDUP(C14,0)</f>
        <v>2900000</v>
      </c>
      <c r="E14" s="52">
        <f t="shared" si="0"/>
        <v>0</v>
      </c>
      <c r="F14" s="59">
        <f t="shared" si="1"/>
        <v>0</v>
      </c>
    </row>
    <row r="15" spans="1:6">
      <c r="A15" s="62" t="s">
        <v>634</v>
      </c>
      <c r="B15" s="52">
        <v>1400350</v>
      </c>
      <c r="C15" s="52">
        <v>1400000</v>
      </c>
      <c r="D15" s="52">
        <f>ROUNDUP(C15,0)</f>
        <v>1400000</v>
      </c>
      <c r="E15" s="52">
        <f t="shared" si="0"/>
        <v>0</v>
      </c>
      <c r="F15" s="59">
        <f t="shared" si="1"/>
        <v>0</v>
      </c>
    </row>
    <row r="16" spans="1:6">
      <c r="A16" s="62" t="s">
        <v>635</v>
      </c>
      <c r="B16" s="52">
        <v>600000</v>
      </c>
      <c r="C16" s="52">
        <v>1100000</v>
      </c>
      <c r="D16" s="52">
        <f>ROUNDUP(C16,0)</f>
        <v>1100000</v>
      </c>
      <c r="E16" s="52">
        <f t="shared" si="0"/>
        <v>0</v>
      </c>
      <c r="F16" s="59">
        <f t="shared" si="1"/>
        <v>0</v>
      </c>
    </row>
    <row r="17" spans="1:7">
      <c r="A17" s="62" t="s">
        <v>637</v>
      </c>
      <c r="B17" s="52">
        <v>17071</v>
      </c>
      <c r="C17" s="52">
        <v>14728</v>
      </c>
      <c r="D17" s="52">
        <f>ROUNDUP(C17,0)</f>
        <v>14728</v>
      </c>
      <c r="E17" s="52">
        <f t="shared" si="0"/>
        <v>0</v>
      </c>
      <c r="F17" s="59">
        <f t="shared" si="1"/>
        <v>0</v>
      </c>
    </row>
    <row r="18" spans="1:7" ht="63">
      <c r="A18" s="62" t="s">
        <v>701</v>
      </c>
      <c r="B18" s="54">
        <f>59786755-2000000-507882</f>
        <v>57278873</v>
      </c>
      <c r="C18" s="54">
        <f>62993670-3000000</f>
        <v>59993670</v>
      </c>
      <c r="D18" s="54">
        <f>SUM(D12:D17)</f>
        <v>61418328</v>
      </c>
      <c r="E18" s="56">
        <f t="shared" si="0"/>
        <v>1424658</v>
      </c>
      <c r="F18" s="243">
        <f>E18/C18</f>
        <v>2.3746805287957879E-2</v>
      </c>
    </row>
    <row r="19" spans="1:7">
      <c r="B19" s="57"/>
      <c r="C19" s="57"/>
      <c r="D19" s="65"/>
      <c r="E19" s="53"/>
    </row>
    <row r="20" spans="1:7">
      <c r="B20" s="53"/>
      <c r="C20" s="53"/>
      <c r="D20" s="53"/>
      <c r="E20" s="53"/>
    </row>
    <row r="21" spans="1:7">
      <c r="B21" s="53"/>
      <c r="C21" s="53"/>
      <c r="D21" s="53"/>
      <c r="E21" s="53"/>
    </row>
    <row r="22" spans="1:7">
      <c r="A22" s="63" t="s">
        <v>695</v>
      </c>
      <c r="B22" s="53"/>
      <c r="C22" s="53"/>
      <c r="D22" s="53"/>
      <c r="E22" s="53"/>
    </row>
    <row r="23" spans="1:7">
      <c r="B23" s="55" t="s">
        <v>6</v>
      </c>
      <c r="C23" s="55" t="s">
        <v>4</v>
      </c>
      <c r="D23" s="55" t="s">
        <v>5</v>
      </c>
      <c r="E23" s="55" t="s">
        <v>7</v>
      </c>
      <c r="F23" s="51" t="s">
        <v>8</v>
      </c>
    </row>
    <row r="24" spans="1:7">
      <c r="A24" s="62" t="s">
        <v>11</v>
      </c>
      <c r="B24" s="52">
        <f>C24/1.032</f>
        <v>31804091.085271318</v>
      </c>
      <c r="C24" s="52">
        <f>ROUNDUP(PCR!G734,0)</f>
        <v>32821822</v>
      </c>
      <c r="D24" s="52">
        <f>ROUNDUP(C24*(1+Salary_pct),0)</f>
        <v>33904943</v>
      </c>
      <c r="E24" s="52">
        <f>D24-C24</f>
        <v>1083121</v>
      </c>
      <c r="F24" s="59">
        <f t="shared" ref="F24:F26" si="2">E24/C24</f>
        <v>3.3000026628625306E-2</v>
      </c>
    </row>
    <row r="25" spans="1:7">
      <c r="A25" s="62" t="s">
        <v>639</v>
      </c>
      <c r="B25" s="52">
        <v>7985000</v>
      </c>
      <c r="C25" s="52">
        <v>8500000</v>
      </c>
      <c r="D25" s="52">
        <f>ROUNDUP(C25*(1+Health_pct),0)</f>
        <v>9435000</v>
      </c>
      <c r="E25" s="52">
        <f t="shared" ref="E25:E31" si="3">D25-C25</f>
        <v>935000</v>
      </c>
      <c r="F25" s="59">
        <f t="shared" si="2"/>
        <v>0.11</v>
      </c>
    </row>
    <row r="26" spans="1:7">
      <c r="A26" s="62" t="s">
        <v>638</v>
      </c>
      <c r="B26" s="52">
        <v>4800000</v>
      </c>
      <c r="C26" s="52">
        <v>5500000</v>
      </c>
      <c r="D26" s="52">
        <f>ROUNDUP(C26*(1+OOD_tuition_pct),0)</f>
        <v>6050000</v>
      </c>
      <c r="E26" s="52">
        <f t="shared" si="3"/>
        <v>550000</v>
      </c>
      <c r="F26" s="59">
        <f t="shared" si="2"/>
        <v>0.1</v>
      </c>
    </row>
    <row r="27" spans="1:7">
      <c r="A27" s="62" t="s">
        <v>12</v>
      </c>
      <c r="B27" s="52">
        <v>3300000</v>
      </c>
      <c r="C27" s="52">
        <v>4300000</v>
      </c>
      <c r="D27" s="52">
        <f>ROUNDUP(C27*(1+Transp_pct),0)</f>
        <v>4730000</v>
      </c>
      <c r="E27" s="52">
        <f t="shared" si="3"/>
        <v>430000</v>
      </c>
      <c r="F27" s="59">
        <f>E27/C27</f>
        <v>0.1</v>
      </c>
    </row>
    <row r="28" spans="1:7">
      <c r="A28" s="62" t="s">
        <v>13</v>
      </c>
      <c r="B28" s="52">
        <v>290000</v>
      </c>
      <c r="C28" s="52">
        <v>300000</v>
      </c>
      <c r="D28" s="52">
        <f>ROUND(C28*(1+Util_pct),0)</f>
        <v>318000</v>
      </c>
      <c r="E28" s="52">
        <f t="shared" si="3"/>
        <v>18000</v>
      </c>
      <c r="F28" s="59">
        <f t="shared" ref="F28:F30" si="4">E28/C28</f>
        <v>0.06</v>
      </c>
    </row>
    <row r="29" spans="1:7">
      <c r="A29" s="62" t="s">
        <v>690</v>
      </c>
      <c r="B29" s="52">
        <v>580000</v>
      </c>
      <c r="C29" s="52">
        <v>600000</v>
      </c>
      <c r="D29" s="52">
        <f>ROUND(C29*(1+NESBIG_pct),0)</f>
        <v>636000</v>
      </c>
      <c r="E29" s="52">
        <f t="shared" si="3"/>
        <v>36000</v>
      </c>
      <c r="F29" s="59">
        <f t="shared" si="4"/>
        <v>0.06</v>
      </c>
    </row>
    <row r="30" spans="1:7">
      <c r="A30" s="62" t="s">
        <v>640</v>
      </c>
      <c r="B30" s="236">
        <v>8519782</v>
      </c>
      <c r="C30" s="236">
        <v>7971848</v>
      </c>
      <c r="D30" s="236">
        <f>C30</f>
        <v>7971848</v>
      </c>
      <c r="E30" s="236">
        <f t="shared" si="3"/>
        <v>0</v>
      </c>
      <c r="F30" s="59">
        <f t="shared" si="4"/>
        <v>0</v>
      </c>
      <c r="G30" s="50" t="s">
        <v>692</v>
      </c>
    </row>
    <row r="31" spans="1:7">
      <c r="A31" s="64" t="s">
        <v>9</v>
      </c>
      <c r="B31" s="54">
        <f t="shared" ref="B31" si="5">B18</f>
        <v>57278873</v>
      </c>
      <c r="C31" s="54">
        <f>SUM(C24:C30)</f>
        <v>59993670</v>
      </c>
      <c r="D31" s="54">
        <f>SUM(D24:D30)</f>
        <v>63045791</v>
      </c>
      <c r="E31" s="56">
        <f t="shared" si="3"/>
        <v>3052121</v>
      </c>
      <c r="F31" s="197">
        <f>E31/C31</f>
        <v>5.0874050545665898E-2</v>
      </c>
    </row>
    <row r="33" spans="1:4">
      <c r="A33" s="67" t="s">
        <v>689</v>
      </c>
      <c r="B33" s="240">
        <f t="shared" ref="B33:C33" si="6">B18-B31</f>
        <v>0</v>
      </c>
      <c r="C33" s="240">
        <f t="shared" si="6"/>
        <v>0</v>
      </c>
      <c r="D33" s="240">
        <f>D18-D31</f>
        <v>-1627463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showWhiteSpace="0" zoomScale="200" zoomScaleNormal="200" workbookViewId="0">
      <pane xSplit="2" ySplit="3" topLeftCell="C61" activePane="bottomRight" state="frozen"/>
      <selection activeCell="H28" sqref="H28"/>
      <selection pane="topRight" activeCell="H28" sqref="H28"/>
      <selection pane="bottomLeft" activeCell="H28" sqref="H28"/>
      <selection pane="bottomRight" activeCell="G4" sqref="G4"/>
    </sheetView>
  </sheetViews>
  <sheetFormatPr defaultColWidth="17.375" defaultRowHeight="15.75" customHeight="1"/>
  <cols>
    <col min="1" max="1" width="4.5" style="183" bestFit="1" customWidth="1"/>
    <col min="2" max="2" width="37" style="75" customWidth="1"/>
    <col min="3" max="3" width="12.875" style="224" customWidth="1"/>
    <col min="4" max="4" width="15.125" style="224" bestFit="1" customWidth="1"/>
    <col min="5" max="5" width="12.5" style="224" customWidth="1"/>
    <col min="6" max="6" width="8.5" style="224" bestFit="1" customWidth="1"/>
    <col min="7" max="8" width="11.5" style="75" customWidth="1"/>
    <col min="9" max="9" width="10.125" style="75" bestFit="1" customWidth="1"/>
    <col min="10" max="16384" width="17.375" style="75"/>
  </cols>
  <sheetData>
    <row r="1" spans="1:8" ht="11.25">
      <c r="A1" s="69"/>
      <c r="B1" s="70" t="s">
        <v>693</v>
      </c>
      <c r="C1" s="198"/>
      <c r="D1" s="199"/>
      <c r="E1" s="200"/>
      <c r="F1" s="198"/>
    </row>
    <row r="2" spans="1:8" ht="11.25">
      <c r="A2" s="69"/>
      <c r="B2" s="76"/>
      <c r="C2" s="201"/>
      <c r="D2" s="201"/>
      <c r="E2" s="201"/>
      <c r="F2" s="201"/>
    </row>
    <row r="3" spans="1:8" ht="22.5">
      <c r="A3" s="78" t="s">
        <v>646</v>
      </c>
      <c r="B3" s="79" t="s">
        <v>647</v>
      </c>
      <c r="C3" s="202" t="s">
        <v>648</v>
      </c>
      <c r="D3" s="202" t="s">
        <v>649</v>
      </c>
      <c r="E3" s="202" t="s">
        <v>650</v>
      </c>
      <c r="F3" s="203" t="s">
        <v>651</v>
      </c>
    </row>
    <row r="4" spans="1:8" ht="15.75" customHeight="1">
      <c r="A4" s="78">
        <v>1</v>
      </c>
      <c r="B4" s="82" t="s">
        <v>652</v>
      </c>
      <c r="C4" s="124">
        <f>C18+C30</f>
        <v>54284863</v>
      </c>
      <c r="D4" s="242">
        <f>D18+D30</f>
        <v>55367158</v>
      </c>
      <c r="E4" s="205">
        <f>E18+E30</f>
        <v>1082295</v>
      </c>
      <c r="F4" s="206">
        <f>D4/C4-1</f>
        <v>1.9937325806643313E-2</v>
      </c>
    </row>
    <row r="5" spans="1:8" ht="15.75" customHeight="1">
      <c r="A5" s="78">
        <f>A4+1</f>
        <v>2</v>
      </c>
      <c r="B5" s="82" t="s">
        <v>653</v>
      </c>
      <c r="C5" s="206">
        <f>ROUND(C4/C13,6)</f>
        <v>1.2435999999999999E-2</v>
      </c>
      <c r="D5" s="207">
        <f>ROUND(D4/D13,6)</f>
        <v>1.2684000000000001E-2</v>
      </c>
      <c r="E5" s="206">
        <f>D5-C5</f>
        <v>2.4800000000000169E-4</v>
      </c>
      <c r="F5" s="208">
        <f>E5*100/C5</f>
        <v>1.994210357027997</v>
      </c>
    </row>
    <row r="6" spans="1:8" ht="15.75" customHeight="1">
      <c r="A6" s="78">
        <f>A5+1</f>
        <v>3</v>
      </c>
      <c r="B6" s="82" t="s">
        <v>654</v>
      </c>
      <c r="C6" s="204">
        <f>C20</f>
        <v>1062825</v>
      </c>
      <c r="D6" s="204">
        <f>D20</f>
        <v>1062825</v>
      </c>
      <c r="E6" s="204">
        <v>419539</v>
      </c>
      <c r="F6" s="209">
        <f t="shared" ref="F6:F12" si="0">D6/C6-1</f>
        <v>0</v>
      </c>
    </row>
    <row r="7" spans="1:8" ht="15.75" customHeight="1">
      <c r="A7" s="78">
        <v>4</v>
      </c>
      <c r="B7" s="109" t="s">
        <v>655</v>
      </c>
      <c r="C7" s="210">
        <f>C5*100</f>
        <v>1.2435999999999998</v>
      </c>
      <c r="D7" s="210">
        <f>D5*100</f>
        <v>1.2684000000000002</v>
      </c>
      <c r="E7" s="211">
        <f>D7-C7</f>
        <v>2.4800000000000377E-2</v>
      </c>
      <c r="F7" s="212">
        <f t="shared" si="0"/>
        <v>1.9942103570280034E-2</v>
      </c>
    </row>
    <row r="8" spans="1:8" ht="15.75" customHeight="1">
      <c r="A8" s="78">
        <v>5</v>
      </c>
      <c r="B8" s="82" t="str">
        <f>"Total School Tax Levy for Average Priced Home"</f>
        <v>Total School Tax Levy for Average Priced Home</v>
      </c>
      <c r="C8" s="211">
        <f>ROUND(C$5*C6,2)</f>
        <v>13217.29</v>
      </c>
      <c r="D8" s="213">
        <f>ROUND(D$5*D6,2)</f>
        <v>13480.87</v>
      </c>
      <c r="E8" s="211">
        <f>ROUND(D8-C8,2)</f>
        <v>263.58</v>
      </c>
      <c r="F8" s="212">
        <f t="shared" si="0"/>
        <v>1.9942060740136602E-2</v>
      </c>
    </row>
    <row r="9" spans="1:8" ht="15.75" customHeight="1">
      <c r="A9" s="78">
        <v>6</v>
      </c>
      <c r="B9" s="82" t="s">
        <v>656</v>
      </c>
      <c r="C9" s="211">
        <f>ROUND(C$5*homepriceA,2)</f>
        <v>6218</v>
      </c>
      <c r="D9" s="211">
        <f>ROUND(D$5*homepriceA,2)</f>
        <v>6342</v>
      </c>
      <c r="E9" s="211">
        <f t="shared" ref="E9:E14" si="1">D9-C9</f>
        <v>124</v>
      </c>
      <c r="F9" s="212">
        <f t="shared" si="0"/>
        <v>1.9942103570279812E-2</v>
      </c>
    </row>
    <row r="10" spans="1:8" ht="15.75" customHeight="1">
      <c r="A10" s="78">
        <f t="shared" ref="A10:A15" si="2">A9+1</f>
        <v>7</v>
      </c>
      <c r="B10" s="82" t="s">
        <v>657</v>
      </c>
      <c r="C10" s="211">
        <f>ROUND(C$5*homepriceB,2)</f>
        <v>8705.2000000000007</v>
      </c>
      <c r="D10" s="213">
        <f>ROUND(D$5*homepriceB,2)</f>
        <v>8878.7999999999993</v>
      </c>
      <c r="E10" s="211">
        <f t="shared" si="1"/>
        <v>173.59999999999854</v>
      </c>
      <c r="F10" s="212">
        <f t="shared" si="0"/>
        <v>1.994210357027959E-2</v>
      </c>
    </row>
    <row r="11" spans="1:8" ht="15.75" customHeight="1">
      <c r="A11" s="78">
        <f t="shared" si="2"/>
        <v>8</v>
      </c>
      <c r="B11" s="82" t="s">
        <v>658</v>
      </c>
      <c r="C11" s="211">
        <f>ROUND(C$5*homepriceC,2)</f>
        <v>11192.4</v>
      </c>
      <c r="D11" s="213">
        <f>ROUND(D$5*homepriceC,2)</f>
        <v>11415.6</v>
      </c>
      <c r="E11" s="211">
        <f t="shared" si="1"/>
        <v>223.20000000000073</v>
      </c>
      <c r="F11" s="212">
        <f t="shared" si="0"/>
        <v>1.9942103570279812E-2</v>
      </c>
      <c r="G11" s="121"/>
    </row>
    <row r="12" spans="1:8" ht="15.75" customHeight="1">
      <c r="A12" s="78">
        <f t="shared" si="2"/>
        <v>9</v>
      </c>
      <c r="B12" s="82" t="s">
        <v>659</v>
      </c>
      <c r="C12" s="211">
        <f>ROUND(C$5*homepriceD,2)</f>
        <v>13679.6</v>
      </c>
      <c r="D12" s="213">
        <f>ROUND(D$5*homepriceD,2)</f>
        <v>13952.4</v>
      </c>
      <c r="E12" s="211">
        <f t="shared" si="1"/>
        <v>272.79999999999927</v>
      </c>
      <c r="F12" s="212">
        <f t="shared" si="0"/>
        <v>1.9942103570279812E-2</v>
      </c>
    </row>
    <row r="13" spans="1:8" ht="15.75" customHeight="1">
      <c r="A13" s="78">
        <f t="shared" si="2"/>
        <v>10</v>
      </c>
      <c r="B13" s="82" t="s">
        <v>660</v>
      </c>
      <c r="C13" s="204">
        <v>4365160800</v>
      </c>
      <c r="D13" s="204">
        <v>4365160800</v>
      </c>
      <c r="E13" s="213">
        <f t="shared" si="1"/>
        <v>0</v>
      </c>
      <c r="F13" s="212">
        <f>ROUND(D13/C13-1,4)</f>
        <v>0</v>
      </c>
      <c r="H13" s="204">
        <v>4596357587</v>
      </c>
    </row>
    <row r="14" spans="1:8" ht="15.75" customHeight="1">
      <c r="A14" s="78">
        <f t="shared" si="2"/>
        <v>11</v>
      </c>
      <c r="B14" s="82" t="s">
        <v>661</v>
      </c>
      <c r="C14" s="204">
        <v>4365160800</v>
      </c>
      <c r="D14" s="204">
        <v>4365160800</v>
      </c>
      <c r="E14" s="213">
        <f t="shared" si="1"/>
        <v>0</v>
      </c>
      <c r="F14" s="212">
        <f>ROUND(D14/C14-1,4)</f>
        <v>0</v>
      </c>
      <c r="H14" s="204">
        <f>H13</f>
        <v>4596357587</v>
      </c>
    </row>
    <row r="15" spans="1:8" ht="15.75" customHeight="1">
      <c r="A15" s="78">
        <f t="shared" si="2"/>
        <v>12</v>
      </c>
      <c r="B15" s="82" t="s">
        <v>691</v>
      </c>
      <c r="C15" s="214">
        <v>1</v>
      </c>
      <c r="D15" s="214">
        <v>1</v>
      </c>
      <c r="E15" s="214">
        <f>D15-C15</f>
        <v>0</v>
      </c>
      <c r="F15" s="212">
        <f>D15-C15</f>
        <v>0</v>
      </c>
    </row>
    <row r="16" spans="1:8" ht="15.75" customHeight="1">
      <c r="A16" s="69"/>
      <c r="C16" s="132"/>
      <c r="D16" s="133"/>
      <c r="E16" s="134"/>
      <c r="F16" s="200"/>
    </row>
    <row r="17" spans="1:10" ht="22.5">
      <c r="A17" s="69"/>
      <c r="B17" s="136" t="s">
        <v>663</v>
      </c>
      <c r="C17" s="202" t="s">
        <v>648</v>
      </c>
      <c r="D17" s="202" t="s">
        <v>649</v>
      </c>
      <c r="E17" s="202" t="s">
        <v>650</v>
      </c>
      <c r="F17" s="203" t="s">
        <v>651</v>
      </c>
      <c r="G17" s="137"/>
    </row>
    <row r="18" spans="1:10" ht="15.75" customHeight="1">
      <c r="A18" s="78">
        <f>A15+1</f>
        <v>13</v>
      </c>
      <c r="B18" s="82" t="s">
        <v>664</v>
      </c>
      <c r="C18" s="213">
        <v>53724742</v>
      </c>
      <c r="D18" s="213">
        <f>ROUND(C18*(1+$C$44),0)</f>
        <v>54799237</v>
      </c>
      <c r="E18" s="213">
        <f>D18-C18</f>
        <v>1074495</v>
      </c>
      <c r="F18" s="215">
        <f t="shared" ref="F18:F26" si="3">D18/C18-1</f>
        <v>2.0000002978143749E-2</v>
      </c>
      <c r="G18" s="141"/>
      <c r="H18" s="142"/>
    </row>
    <row r="19" spans="1:10" ht="15.75" customHeight="1">
      <c r="A19" s="78">
        <f>A18+1</f>
        <v>14</v>
      </c>
      <c r="B19" s="82" t="s">
        <v>665</v>
      </c>
      <c r="C19" s="216">
        <f>ROUND(C18/C13,6)</f>
        <v>1.2307999999999999E-2</v>
      </c>
      <c r="D19" s="216">
        <f>ROUND(D18/D13,6)</f>
        <v>1.2553999999999999E-2</v>
      </c>
      <c r="E19" s="206">
        <f>D19-C19</f>
        <v>2.4599999999999969E-4</v>
      </c>
      <c r="F19" s="212">
        <f t="shared" si="3"/>
        <v>1.9987000324991788E-2</v>
      </c>
      <c r="G19" s="74"/>
      <c r="H19" s="147"/>
      <c r="I19" s="137"/>
    </row>
    <row r="20" spans="1:10" ht="15.75" customHeight="1">
      <c r="A20" s="78">
        <f>A19+1</f>
        <v>15</v>
      </c>
      <c r="B20" s="82" t="s">
        <v>654</v>
      </c>
      <c r="C20" s="205">
        <f>D20</f>
        <v>1062825</v>
      </c>
      <c r="D20" s="205">
        <v>1062825</v>
      </c>
      <c r="E20" s="205">
        <f>D20-C20</f>
        <v>0</v>
      </c>
      <c r="F20" s="212">
        <f t="shared" si="3"/>
        <v>0</v>
      </c>
      <c r="G20" s="148"/>
      <c r="H20" s="149"/>
      <c r="I20" s="150"/>
    </row>
    <row r="21" spans="1:10" ht="15.75" customHeight="1">
      <c r="A21" s="78">
        <v>16</v>
      </c>
      <c r="B21" s="109" t="s">
        <v>666</v>
      </c>
      <c r="C21" s="211">
        <f>ROUND(100*C$19,4)</f>
        <v>1.2307999999999999</v>
      </c>
      <c r="D21" s="217">
        <f>ROUND(100*D$19,4)</f>
        <v>1.2554000000000001</v>
      </c>
      <c r="E21" s="217">
        <f>D21-C21</f>
        <v>2.4600000000000177E-2</v>
      </c>
      <c r="F21" s="218">
        <f t="shared" si="3"/>
        <v>1.998700032499201E-2</v>
      </c>
      <c r="G21" s="158"/>
      <c r="I21" s="158"/>
    </row>
    <row r="22" spans="1:10" ht="15.75" customHeight="1">
      <c r="A22" s="78">
        <v>17</v>
      </c>
      <c r="B22" s="109" t="str">
        <f>"General Fund Tax for Average Priced Home"</f>
        <v>General Fund Tax for Average Priced Home</v>
      </c>
      <c r="C22" s="213">
        <f>ROUND(C20*C$19,2)</f>
        <v>13081.25</v>
      </c>
      <c r="D22" s="213">
        <f>ROUND(D20*D$19,2)</f>
        <v>13342.71</v>
      </c>
      <c r="E22" s="213">
        <f>ROUND(D22-C22,2)</f>
        <v>261.45999999999998</v>
      </c>
      <c r="F22" s="215">
        <f t="shared" si="3"/>
        <v>1.9987386526516993E-2</v>
      </c>
      <c r="G22" s="158"/>
      <c r="H22" s="158"/>
      <c r="I22" s="158"/>
    </row>
    <row r="23" spans="1:10" ht="15.75" customHeight="1">
      <c r="A23" s="78">
        <v>18</v>
      </c>
      <c r="B23" s="109" t="s">
        <v>667</v>
      </c>
      <c r="C23" s="213">
        <f>ROUND(homepriceA*C$19,2)</f>
        <v>6154</v>
      </c>
      <c r="D23" s="213">
        <f>ROUND(homepriceA*D$19,2)</f>
        <v>6277</v>
      </c>
      <c r="E23" s="213">
        <f>D23-C23</f>
        <v>123</v>
      </c>
      <c r="F23" s="215">
        <f t="shared" si="3"/>
        <v>1.9987000324991788E-2</v>
      </c>
      <c r="G23" s="158"/>
    </row>
    <row r="24" spans="1:10" ht="15.75" customHeight="1">
      <c r="A24" s="78">
        <f>A23+1</f>
        <v>19</v>
      </c>
      <c r="B24" s="109" t="s">
        <v>668</v>
      </c>
      <c r="C24" s="213">
        <f>ROUND(homepriceB*C$19,2)</f>
        <v>8615.6</v>
      </c>
      <c r="D24" s="213">
        <f>ROUND(homepriceB*D$19,2)</f>
        <v>8787.7999999999993</v>
      </c>
      <c r="E24" s="213">
        <f>D24-C24</f>
        <v>172.19999999999891</v>
      </c>
      <c r="F24" s="215">
        <f t="shared" si="3"/>
        <v>1.9987000324991788E-2</v>
      </c>
      <c r="G24" s="158"/>
      <c r="H24" s="158"/>
      <c r="I24" s="158"/>
    </row>
    <row r="25" spans="1:10" ht="15.75" customHeight="1">
      <c r="A25" s="78">
        <f>A24+1</f>
        <v>20</v>
      </c>
      <c r="B25" s="109" t="s">
        <v>669</v>
      </c>
      <c r="C25" s="213">
        <f>ROUND(homepriceC*C$19,2)</f>
        <v>11077.2</v>
      </c>
      <c r="D25" s="213">
        <f>ROUND(homepriceC*D$19,2)</f>
        <v>11298.6</v>
      </c>
      <c r="E25" s="213">
        <f>D25-C25</f>
        <v>221.39999999999964</v>
      </c>
      <c r="F25" s="215">
        <f t="shared" si="3"/>
        <v>1.9987000324991788E-2</v>
      </c>
      <c r="G25" s="158"/>
      <c r="H25" s="158"/>
      <c r="I25" s="158"/>
    </row>
    <row r="26" spans="1:10" ht="15.75" customHeight="1">
      <c r="A26" s="78">
        <f>A25+1</f>
        <v>21</v>
      </c>
      <c r="B26" s="109" t="s">
        <v>670</v>
      </c>
      <c r="C26" s="213">
        <f>ROUND(homepriceD*C$19,2)</f>
        <v>13538.8</v>
      </c>
      <c r="D26" s="213">
        <f>ROUND(homepriceD*D$19,2)</f>
        <v>13809.4</v>
      </c>
      <c r="E26" s="213">
        <f>D26-C26</f>
        <v>270.60000000000036</v>
      </c>
      <c r="F26" s="212">
        <f t="shared" si="3"/>
        <v>1.998700032499201E-2</v>
      </c>
      <c r="I26" s="158"/>
      <c r="J26" s="160"/>
    </row>
    <row r="27" spans="1:10" ht="15.75" customHeight="1">
      <c r="A27" s="69"/>
      <c r="C27" s="219"/>
      <c r="D27" s="200"/>
      <c r="E27" s="200"/>
      <c r="F27" s="200"/>
      <c r="G27" s="158"/>
      <c r="H27" s="158"/>
    </row>
    <row r="28" spans="1:10" ht="22.5">
      <c r="A28" s="69"/>
      <c r="B28" s="136" t="s">
        <v>671</v>
      </c>
      <c r="C28" s="202" t="s">
        <v>648</v>
      </c>
      <c r="D28" s="202" t="s">
        <v>649</v>
      </c>
      <c r="E28" s="202" t="s">
        <v>650</v>
      </c>
      <c r="F28" s="203" t="s">
        <v>651</v>
      </c>
      <c r="G28" s="158"/>
      <c r="H28" s="158"/>
    </row>
    <row r="29" spans="1:10" ht="15.75" customHeight="1">
      <c r="A29" s="78">
        <f>A26+1</f>
        <v>22</v>
      </c>
      <c r="B29" s="82" t="s">
        <v>672</v>
      </c>
      <c r="C29" s="213">
        <v>1570300</v>
      </c>
      <c r="D29" s="213">
        <v>1575550</v>
      </c>
      <c r="E29" s="213">
        <f>D29-C29</f>
        <v>5250</v>
      </c>
      <c r="F29" s="212">
        <f>D29/C29</f>
        <v>1.003343310195504</v>
      </c>
    </row>
    <row r="30" spans="1:10" ht="12" customHeight="1">
      <c r="A30" s="78">
        <f t="shared" ref="A30:A38" si="4">A29+1</f>
        <v>23</v>
      </c>
      <c r="B30" s="82" t="s">
        <v>673</v>
      </c>
      <c r="C30" s="213">
        <v>560121</v>
      </c>
      <c r="D30" s="213">
        <v>567921</v>
      </c>
      <c r="E30" s="213">
        <f>D30-C30</f>
        <v>7800</v>
      </c>
      <c r="F30" s="235">
        <f t="shared" ref="F30:F38" si="5">D30/C30-1</f>
        <v>1.3925562512385747E-2</v>
      </c>
      <c r="G30" s="137"/>
    </row>
    <row r="31" spans="1:10" ht="15.75" customHeight="1">
      <c r="A31" s="78">
        <f t="shared" si="4"/>
        <v>24</v>
      </c>
      <c r="B31" s="82" t="s">
        <v>674</v>
      </c>
      <c r="C31" s="220">
        <f>ROUND(C30/C13,6)</f>
        <v>1.2799999999999999E-4</v>
      </c>
      <c r="D31" s="220">
        <f>ROUND(D30/D13,6)</f>
        <v>1.2999999999999999E-4</v>
      </c>
      <c r="E31" s="220">
        <f>D31-C31</f>
        <v>1.9999999999999944E-6</v>
      </c>
      <c r="F31" s="221">
        <f t="shared" si="5"/>
        <v>1.5625E-2</v>
      </c>
      <c r="G31" s="176"/>
      <c r="H31" s="137"/>
    </row>
    <row r="32" spans="1:10" ht="15.75" customHeight="1">
      <c r="A32" s="78">
        <f t="shared" si="4"/>
        <v>25</v>
      </c>
      <c r="B32" s="82" t="s">
        <v>654</v>
      </c>
      <c r="C32" s="222">
        <f>C20</f>
        <v>1062825</v>
      </c>
      <c r="D32" s="222">
        <f>D20</f>
        <v>1062825</v>
      </c>
      <c r="E32" s="222">
        <f>D32-C32</f>
        <v>0</v>
      </c>
      <c r="F32" s="221">
        <f t="shared" si="5"/>
        <v>0</v>
      </c>
      <c r="H32" s="178"/>
    </row>
    <row r="33" spans="1:15" ht="15.75" customHeight="1">
      <c r="A33" s="78">
        <f t="shared" si="4"/>
        <v>26</v>
      </c>
      <c r="B33" s="109" t="s">
        <v>675</v>
      </c>
      <c r="C33" s="211">
        <f>ROUND(100*C$31,2)</f>
        <v>0.01</v>
      </c>
      <c r="D33" s="211">
        <f>ROUND(100*D$31,2)</f>
        <v>0.01</v>
      </c>
      <c r="E33" s="222">
        <f>ROUND(D33-C33,2)</f>
        <v>0</v>
      </c>
      <c r="F33" s="223">
        <f t="shared" si="5"/>
        <v>0</v>
      </c>
      <c r="J33" s="182"/>
      <c r="N33" s="75">
        <v>1.3129999999999999E-2</v>
      </c>
      <c r="O33" s="75">
        <f>N35*O34</f>
        <v>52.822909099999997</v>
      </c>
    </row>
    <row r="34" spans="1:15" ht="15.75" customHeight="1">
      <c r="A34" s="78">
        <f t="shared" si="4"/>
        <v>27</v>
      </c>
      <c r="B34" s="82" t="s">
        <v>676</v>
      </c>
      <c r="C34" s="211">
        <f>ROUND(C32*C$31,2)</f>
        <v>136.04</v>
      </c>
      <c r="D34" s="211">
        <f>ROUND(D32*D$31,2)</f>
        <v>138.16999999999999</v>
      </c>
      <c r="E34" s="222">
        <f>D34-C34</f>
        <v>2.1299999999999955</v>
      </c>
      <c r="F34" s="223">
        <f t="shared" si="5"/>
        <v>1.5657159658923891E-2</v>
      </c>
      <c r="N34" s="75">
        <v>100</v>
      </c>
      <c r="O34" s="75">
        <v>402307</v>
      </c>
    </row>
    <row r="35" spans="1:15" ht="15.75" customHeight="1">
      <c r="A35" s="78">
        <f t="shared" si="4"/>
        <v>28</v>
      </c>
      <c r="B35" s="82" t="s">
        <v>677</v>
      </c>
      <c r="C35" s="211">
        <f>ROUND(homepriceA*C$31,2)</f>
        <v>64</v>
      </c>
      <c r="D35" s="213">
        <f>ROUND(homepriceA*D$31,2)</f>
        <v>65</v>
      </c>
      <c r="E35" s="222">
        <f>D35-C35</f>
        <v>1</v>
      </c>
      <c r="F35" s="223">
        <f t="shared" si="5"/>
        <v>1.5625E-2</v>
      </c>
      <c r="N35" s="75">
        <f>N33/N34</f>
        <v>1.3129999999999999E-4</v>
      </c>
    </row>
    <row r="36" spans="1:15" ht="15.75" customHeight="1">
      <c r="A36" s="78">
        <f t="shared" si="4"/>
        <v>29</v>
      </c>
      <c r="B36" s="82" t="s">
        <v>678</v>
      </c>
      <c r="C36" s="211">
        <f>ROUND(homepriceB*C$31,2)</f>
        <v>89.6</v>
      </c>
      <c r="D36" s="213">
        <f>ROUND(homepriceB*D$31,2)</f>
        <v>91</v>
      </c>
      <c r="E36" s="222">
        <f>D36-C36</f>
        <v>1.4000000000000057</v>
      </c>
      <c r="F36" s="223">
        <f t="shared" si="5"/>
        <v>1.5625E-2</v>
      </c>
    </row>
    <row r="37" spans="1:15" ht="15.75" customHeight="1">
      <c r="A37" s="78">
        <f t="shared" si="4"/>
        <v>30</v>
      </c>
      <c r="B37" s="82" t="s">
        <v>679</v>
      </c>
      <c r="C37" s="211">
        <f>ROUND(homepriceC*C$31,2)</f>
        <v>115.2</v>
      </c>
      <c r="D37" s="213">
        <f>ROUND(homepriceC*D$31,2)</f>
        <v>117</v>
      </c>
      <c r="E37" s="222">
        <f>D37-C37</f>
        <v>1.7999999999999972</v>
      </c>
      <c r="F37" s="223">
        <f t="shared" si="5"/>
        <v>1.5625E-2</v>
      </c>
      <c r="J37" s="182"/>
    </row>
    <row r="38" spans="1:15" ht="15.75" customHeight="1">
      <c r="A38" s="78">
        <f t="shared" si="4"/>
        <v>31</v>
      </c>
      <c r="B38" s="82" t="s">
        <v>680</v>
      </c>
      <c r="C38" s="211">
        <f>ROUND(homepriceD*C$31,2)</f>
        <v>140.80000000000001</v>
      </c>
      <c r="D38" s="213">
        <f>ROUND(homepriceD*D$31,2)</f>
        <v>143</v>
      </c>
      <c r="E38" s="222">
        <f>D38-C38</f>
        <v>2.1999999999999886</v>
      </c>
      <c r="F38" s="223">
        <f t="shared" si="5"/>
        <v>1.5625E-2</v>
      </c>
    </row>
    <row r="39" spans="1:15" ht="15.75" customHeight="1">
      <c r="J39" s="182"/>
    </row>
    <row r="40" spans="1:15" ht="15.75" customHeight="1">
      <c r="C40" s="225"/>
      <c r="D40" s="225"/>
    </row>
    <row r="41" spans="1:15" ht="15.75" customHeight="1">
      <c r="C41" s="226"/>
      <c r="D41" s="226"/>
      <c r="E41" s="226"/>
      <c r="F41" s="226"/>
    </row>
    <row r="42" spans="1:15" ht="15.75" customHeight="1">
      <c r="B42" s="185" t="s">
        <v>681</v>
      </c>
      <c r="C42" s="226"/>
      <c r="D42" s="226"/>
      <c r="E42" s="226"/>
      <c r="F42" s="226"/>
    </row>
    <row r="43" spans="1:15" ht="15.75" customHeight="1">
      <c r="C43" s="227"/>
      <c r="D43" s="227"/>
      <c r="E43" s="227"/>
      <c r="F43" s="228"/>
    </row>
    <row r="44" spans="1:15" ht="15.75" customHeight="1">
      <c r="B44" s="188" t="s">
        <v>682</v>
      </c>
      <c r="C44" s="229">
        <v>0.02</v>
      </c>
      <c r="D44" s="227"/>
      <c r="E44" s="227"/>
      <c r="F44" s="227"/>
    </row>
    <row r="45" spans="1:15" ht="15.75" customHeight="1">
      <c r="B45" s="188" t="s">
        <v>683</v>
      </c>
      <c r="C45" s="230">
        <v>0</v>
      </c>
      <c r="D45" s="227"/>
      <c r="E45" s="227"/>
      <c r="F45" s="227"/>
    </row>
    <row r="46" spans="1:15" ht="15.75" customHeight="1">
      <c r="B46" s="188" t="s">
        <v>684</v>
      </c>
      <c r="C46" s="229">
        <f>SUM(C44:C45)</f>
        <v>0.02</v>
      </c>
      <c r="D46" s="227"/>
      <c r="E46" s="227"/>
      <c r="F46" s="227"/>
    </row>
    <row r="47" spans="1:15" ht="15.75" customHeight="1">
      <c r="B47" s="191"/>
      <c r="C47" s="231"/>
      <c r="D47" s="232"/>
      <c r="E47" s="232"/>
      <c r="F47" s="232"/>
    </row>
    <row r="48" spans="1:15" ht="15.75" customHeight="1">
      <c r="B48" s="191"/>
      <c r="C48" s="233"/>
    </row>
    <row r="49" spans="1:6" ht="15.75" customHeight="1">
      <c r="A49" s="75"/>
      <c r="B49" s="188" t="s">
        <v>685</v>
      </c>
      <c r="C49" s="234">
        <v>500000</v>
      </c>
      <c r="D49" s="227"/>
      <c r="E49" s="227">
        <f>E44-D44</f>
        <v>0</v>
      </c>
      <c r="F49" s="228"/>
    </row>
    <row r="50" spans="1:6" ht="15.75" customHeight="1">
      <c r="A50" s="75"/>
      <c r="B50" s="188" t="s">
        <v>686</v>
      </c>
      <c r="C50" s="234">
        <v>700000</v>
      </c>
      <c r="D50" s="227"/>
      <c r="E50" s="227"/>
      <c r="F50" s="227"/>
    </row>
    <row r="51" spans="1:6" ht="15.75" customHeight="1">
      <c r="A51" s="75"/>
      <c r="B51" s="188" t="s">
        <v>687</v>
      </c>
      <c r="C51" s="234">
        <v>900000</v>
      </c>
      <c r="D51" s="227"/>
      <c r="E51" s="227"/>
      <c r="F51" s="227"/>
    </row>
    <row r="52" spans="1:6" ht="15.75" customHeight="1">
      <c r="A52" s="75"/>
      <c r="B52" s="188" t="s">
        <v>688</v>
      </c>
      <c r="C52" s="234">
        <v>1100000</v>
      </c>
      <c r="D52" s="227"/>
      <c r="E52" s="227"/>
      <c r="F52" s="227"/>
    </row>
    <row r="53" spans="1:6" ht="15.75" customHeight="1">
      <c r="A53" s="75"/>
      <c r="C53" s="227"/>
      <c r="D53" s="232"/>
      <c r="E53" s="232"/>
      <c r="F53" s="232"/>
    </row>
    <row r="54" spans="1:6" ht="15.75" customHeight="1">
      <c r="A54" s="75"/>
    </row>
  </sheetData>
  <printOptions horizontalCentered="1"/>
  <pageMargins left="0.45" right="0.4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</vt:i4>
      </vt:variant>
    </vt:vector>
  </HeadingPairs>
  <TitlesOfParts>
    <vt:vector size="34" baseType="lpstr">
      <vt:lpstr>Summary</vt:lpstr>
      <vt:lpstr>PCR</vt:lpstr>
      <vt:lpstr>Tax impact same home price</vt:lpstr>
      <vt:lpstr>Summary BCASBO</vt:lpstr>
      <vt:lpstr>Tax Impact BCASBO</vt:lpstr>
      <vt:lpstr>'Summary BCASBO'!Health_pct</vt:lpstr>
      <vt:lpstr>Health_pct</vt:lpstr>
      <vt:lpstr>'Tax Impact BCASBO'!homepriceA</vt:lpstr>
      <vt:lpstr>'Tax impact same home price'!homepriceA</vt:lpstr>
      <vt:lpstr>'Tax Impact BCASBO'!homepriceB</vt:lpstr>
      <vt:lpstr>'Tax impact same home price'!homepriceB</vt:lpstr>
      <vt:lpstr>'Tax Impact BCASBO'!homepriceC</vt:lpstr>
      <vt:lpstr>'Tax impact same home price'!homepriceC</vt:lpstr>
      <vt:lpstr>'Tax Impact BCASBO'!homepriceD</vt:lpstr>
      <vt:lpstr>'Tax impact same home price'!homepriceD</vt:lpstr>
      <vt:lpstr>'Tax Impact BCASBO'!homerpiceC</vt:lpstr>
      <vt:lpstr>'Tax impact same home price'!homerpiceC</vt:lpstr>
      <vt:lpstr>'Summary BCASBO'!NESBIG_pct</vt:lpstr>
      <vt:lpstr>NESBIG_pct</vt:lpstr>
      <vt:lpstr>OOD_tuition_pct</vt:lpstr>
      <vt:lpstr>'Tax Impact BCASBO'!Print_Area</vt:lpstr>
      <vt:lpstr>'Tax impact same home price'!Print_Area</vt:lpstr>
      <vt:lpstr>'Tax Impact BCASBO'!Print_Titles</vt:lpstr>
      <vt:lpstr>'Tax impact same home price'!Print_Titles</vt:lpstr>
      <vt:lpstr>'Summary BCASBO'!Salary_pct</vt:lpstr>
      <vt:lpstr>Salary_pct</vt:lpstr>
      <vt:lpstr>'Summary BCASBO'!TaxLevy_pct</vt:lpstr>
      <vt:lpstr>TaxLevy_pct</vt:lpstr>
      <vt:lpstr>'Tax Impact BCASBO'!taxrate</vt:lpstr>
      <vt:lpstr>'Tax impact same home price'!taxrate</vt:lpstr>
      <vt:lpstr>'Summary BCASBO'!Transp_pct</vt:lpstr>
      <vt:lpstr>Transp_pct</vt:lpstr>
      <vt:lpstr>'Summary BCASBO'!Util_pct</vt:lpstr>
      <vt:lpstr>Util_pct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Lambe</dc:creator>
  <cp:lastModifiedBy>Sacha Pouliot</cp:lastModifiedBy>
  <dcterms:created xsi:type="dcterms:W3CDTF">2023-01-24T21:02:17Z</dcterms:created>
  <dcterms:modified xsi:type="dcterms:W3CDTF">2023-01-26T18:43:36Z</dcterms:modified>
</cp:coreProperties>
</file>